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9cdfe9395afa78/Desktop/"/>
    </mc:Choice>
  </mc:AlternateContent>
  <xr:revisionPtr revIDLastSave="0" documentId="8_{F912DE32-7D9B-43D9-BC76-28CD5B1CD7D8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DENNIS" sheetId="15" r:id="rId1"/>
    <sheet name="Sheet1" sheetId="30" r:id="rId2"/>
    <sheet name="ZOESCH" sheetId="23" r:id="rId3"/>
    <sheet name="RYAN" sheetId="22" r:id="rId4"/>
    <sheet name="BROOKS" sheetId="26" r:id="rId5"/>
    <sheet name="CUPP" sheetId="27" r:id="rId6"/>
    <sheet name="INVESTOR" sheetId="1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9" l="1"/>
  <c r="E10" i="19"/>
  <c r="E9" i="19"/>
  <c r="E8" i="19"/>
  <c r="F8" i="19"/>
  <c r="E6" i="19"/>
  <c r="E5" i="19"/>
  <c r="E4" i="19"/>
  <c r="V40" i="15"/>
  <c r="C41" i="15" l="1"/>
  <c r="V41" i="15" s="1"/>
  <c r="E5" i="23"/>
  <c r="J31" i="23"/>
  <c r="C31" i="23"/>
  <c r="M20" i="23"/>
  <c r="N20" i="23" s="1"/>
  <c r="M21" i="23" s="1"/>
  <c r="N21" i="23" s="1"/>
  <c r="M22" i="23" s="1"/>
  <c r="K12" i="23"/>
  <c r="O4" i="23"/>
  <c r="B18" i="26"/>
  <c r="F3" i="26"/>
  <c r="E17" i="15"/>
  <c r="T27" i="15"/>
  <c r="U27" i="15" s="1"/>
  <c r="T28" i="15" s="1"/>
  <c r="U28" i="15" s="1"/>
  <c r="T30" i="15" s="1"/>
  <c r="U30" i="15" s="1"/>
  <c r="T31" i="15" s="1"/>
  <c r="U31" i="15" s="1"/>
  <c r="T32" i="15" s="1"/>
  <c r="U32" i="15" s="1"/>
  <c r="T34" i="15" s="1"/>
  <c r="U34" i="15" s="1"/>
  <c r="T36" i="15" s="1"/>
  <c r="U36" i="15" s="1"/>
  <c r="T37" i="15" s="1"/>
  <c r="U37" i="15" s="1"/>
  <c r="T38" i="15" s="1"/>
  <c r="U38" i="15" s="1"/>
  <c r="C13" i="27"/>
  <c r="E3" i="27"/>
  <c r="F3" i="27" s="1"/>
  <c r="B19" i="26"/>
  <c r="F4" i="22"/>
  <c r="F4" i="26"/>
  <c r="L11" i="23"/>
  <c r="L12" i="23" s="1"/>
  <c r="L25" i="15"/>
  <c r="N25" i="15" s="1"/>
  <c r="S26" i="15"/>
  <c r="R27" i="15" s="1"/>
  <c r="S27" i="15" s="1"/>
  <c r="R28" i="15" s="1"/>
  <c r="S28" i="15" s="1"/>
  <c r="R30" i="15" s="1"/>
  <c r="S30" i="15" s="1"/>
  <c r="R31" i="15" s="1"/>
  <c r="S31" i="15" s="1"/>
  <c r="R32" i="15" s="1"/>
  <c r="S32" i="15" s="1"/>
  <c r="R34" i="15" s="1"/>
  <c r="S34" i="15" s="1"/>
  <c r="R36" i="15" s="1"/>
  <c r="S36" i="15" s="1"/>
  <c r="R37" i="15" s="1"/>
  <c r="S37" i="15" s="1"/>
  <c r="R38" i="15" s="1"/>
  <c r="S38" i="15" s="1"/>
  <c r="Q24" i="15"/>
  <c r="Q26" i="15" s="1"/>
  <c r="K13" i="15"/>
  <c r="K14" i="15" s="1"/>
  <c r="J15" i="15" s="1"/>
  <c r="G3" i="15"/>
  <c r="V3" i="15" s="1"/>
  <c r="V2" i="15"/>
  <c r="V42" i="15" l="1"/>
  <c r="P27" i="15"/>
  <c r="Q27" i="15" s="1"/>
  <c r="P28" i="15" s="1"/>
  <c r="Q28" i="15" s="1"/>
  <c r="M25" i="15"/>
  <c r="O25" i="15"/>
  <c r="L27" i="15" s="1"/>
  <c r="N27" i="15" s="1"/>
  <c r="F3" i="22"/>
  <c r="G3" i="22" s="1"/>
  <c r="E4" i="27"/>
  <c r="F4" i="27" s="1"/>
  <c r="G4" i="22"/>
  <c r="G6" i="22" s="1"/>
  <c r="N22" i="23"/>
  <c r="G3" i="26"/>
  <c r="G4" i="26"/>
  <c r="G6" i="26" s="1"/>
  <c r="I13" i="23"/>
  <c r="M23" i="23" l="1"/>
  <c r="N23" i="23"/>
  <c r="I14" i="23"/>
  <c r="K13" i="23"/>
  <c r="P30" i="15"/>
  <c r="Q30" i="15" s="1"/>
  <c r="P31" i="15" s="1"/>
  <c r="Q31" i="15" s="1"/>
  <c r="P32" i="15" s="1"/>
  <c r="Q32" i="15" s="1"/>
  <c r="P34" i="15" s="1"/>
  <c r="Q34" i="15" s="1"/>
  <c r="M27" i="15"/>
  <c r="O27" i="15"/>
  <c r="L28" i="15" s="1"/>
  <c r="N28" i="15" s="1"/>
  <c r="E5" i="27"/>
  <c r="F5" i="27" s="1"/>
  <c r="G7" i="22"/>
  <c r="F9" i="22" s="1"/>
  <c r="F5" i="22"/>
  <c r="F5" i="26"/>
  <c r="M25" i="23"/>
  <c r="G7" i="26"/>
  <c r="F8" i="26" s="1"/>
  <c r="L13" i="23"/>
  <c r="L15" i="23" s="1"/>
  <c r="P36" i="15" l="1"/>
  <c r="Q36" i="15" s="1"/>
  <c r="P37" i="15" s="1"/>
  <c r="Q37" i="15" s="1"/>
  <c r="P38" i="15" s="1"/>
  <c r="Q38" i="15" s="1"/>
  <c r="M28" i="15"/>
  <c r="O28" i="15"/>
  <c r="L30" i="15" s="1"/>
  <c r="N30" i="15" s="1"/>
  <c r="H15" i="15"/>
  <c r="I15" i="15" s="1"/>
  <c r="H16" i="15" s="1"/>
  <c r="I16" i="15" s="1"/>
  <c r="I17" i="15" s="1"/>
  <c r="E6" i="27"/>
  <c r="F6" i="27" s="1"/>
  <c r="G9" i="22"/>
  <c r="N25" i="23"/>
  <c r="N26" i="23" s="1"/>
  <c r="I16" i="23"/>
  <c r="G8" i="26"/>
  <c r="F9" i="26" s="1"/>
  <c r="E4" i="15"/>
  <c r="G4" i="15" s="1"/>
  <c r="L16" i="23" l="1"/>
  <c r="I18" i="23" s="1"/>
  <c r="K16" i="23"/>
  <c r="B19" i="22"/>
  <c r="B21" i="22" s="1"/>
  <c r="F10" i="22"/>
  <c r="G10" i="22" s="1"/>
  <c r="O30" i="15"/>
  <c r="L31" i="15" s="1"/>
  <c r="N31" i="15" s="1"/>
  <c r="M30" i="15"/>
  <c r="E8" i="27"/>
  <c r="F8" i="27" s="1"/>
  <c r="M27" i="23"/>
  <c r="N27" i="23" s="1"/>
  <c r="G9" i="26"/>
  <c r="F10" i="26" s="1"/>
  <c r="H18" i="15"/>
  <c r="I18" i="15" s="1"/>
  <c r="E5" i="15"/>
  <c r="G5" i="15" s="1"/>
  <c r="V4" i="15"/>
  <c r="L18" i="23" l="1"/>
  <c r="K18" i="23"/>
  <c r="G5" i="23"/>
  <c r="H5" i="23" s="1"/>
  <c r="E6" i="23" s="1"/>
  <c r="G6" i="23" s="1"/>
  <c r="H6" i="23" s="1"/>
  <c r="F11" i="22"/>
  <c r="G11" i="22" s="1"/>
  <c r="M31" i="15"/>
  <c r="O31" i="15"/>
  <c r="L32" i="15" s="1"/>
  <c r="N32" i="15" s="1"/>
  <c r="E9" i="27"/>
  <c r="F9" i="27"/>
  <c r="C12" i="27" s="1"/>
  <c r="M28" i="23"/>
  <c r="N28" i="23" s="1"/>
  <c r="G10" i="26"/>
  <c r="F11" i="26" s="1"/>
  <c r="G6" i="15"/>
  <c r="V5" i="15"/>
  <c r="H19" i="15"/>
  <c r="I19" i="15" s="1"/>
  <c r="O6" i="23" l="1"/>
  <c r="O5" i="23"/>
  <c r="L19" i="23"/>
  <c r="I20" i="23"/>
  <c r="K20" i="23" s="1"/>
  <c r="F12" i="22"/>
  <c r="G12" i="22" s="1"/>
  <c r="M32" i="15"/>
  <c r="O32" i="15"/>
  <c r="L34" i="15" s="1"/>
  <c r="M29" i="23"/>
  <c r="N29" i="23" s="1"/>
  <c r="G11" i="26"/>
  <c r="F13" i="26" s="1"/>
  <c r="H20" i="15"/>
  <c r="I20" i="15" s="1"/>
  <c r="H21" i="15" s="1"/>
  <c r="I21" i="15" s="1"/>
  <c r="E7" i="15"/>
  <c r="G7" i="15" s="1"/>
  <c r="V6" i="15"/>
  <c r="L20" i="23" l="1"/>
  <c r="E7" i="23"/>
  <c r="G7" i="23" s="1"/>
  <c r="H7" i="23" s="1"/>
  <c r="F14" i="22"/>
  <c r="G14" i="22" s="1"/>
  <c r="O34" i="15"/>
  <c r="M34" i="15"/>
  <c r="N34" i="15" s="1"/>
  <c r="C14" i="27"/>
  <c r="G13" i="26"/>
  <c r="F14" i="26" s="1"/>
  <c r="V7" i="15"/>
  <c r="E8" i="15"/>
  <c r="G8" i="15" s="1"/>
  <c r="I22" i="15"/>
  <c r="I24" i="15" s="1"/>
  <c r="H25" i="15"/>
  <c r="I25" i="15" s="1"/>
  <c r="H27" i="15" s="1"/>
  <c r="O35" i="15" l="1"/>
  <c r="L36" i="15" s="1"/>
  <c r="I21" i="23"/>
  <c r="K21" i="23" s="1"/>
  <c r="L21" i="23"/>
  <c r="O7" i="23"/>
  <c r="F15" i="22"/>
  <c r="G15" i="22" s="1"/>
  <c r="G14" i="26"/>
  <c r="V8" i="15"/>
  <c r="G9" i="15"/>
  <c r="I27" i="15"/>
  <c r="M36" i="15" l="1"/>
  <c r="N36" i="15"/>
  <c r="O36" i="15" s="1"/>
  <c r="L37" i="15" s="1"/>
  <c r="M37" i="15" s="1"/>
  <c r="N37" i="15" s="1"/>
  <c r="O37" i="15" s="1"/>
  <c r="L38" i="15" s="1"/>
  <c r="I22" i="23"/>
  <c r="K22" i="23" s="1"/>
  <c r="L22" i="23"/>
  <c r="E8" i="23"/>
  <c r="G8" i="23" s="1"/>
  <c r="H8" i="23" s="1"/>
  <c r="F16" i="22"/>
  <c r="G16" i="22" s="1"/>
  <c r="F15" i="26"/>
  <c r="G15" i="26" s="1"/>
  <c r="H28" i="15"/>
  <c r="I28" i="15" s="1"/>
  <c r="G10" i="15"/>
  <c r="V9" i="15"/>
  <c r="I23" i="23" l="1"/>
  <c r="K23" i="23" s="1"/>
  <c r="L23" i="23"/>
  <c r="I25" i="23"/>
  <c r="L25" i="23" s="1"/>
  <c r="O8" i="23"/>
  <c r="F17" i="22"/>
  <c r="G17" i="22" s="1"/>
  <c r="F16" i="26"/>
  <c r="G16" i="26" s="1"/>
  <c r="B20" i="26" s="1"/>
  <c r="M38" i="15"/>
  <c r="N38" i="15" s="1"/>
  <c r="O38" i="15" s="1"/>
  <c r="H30" i="15"/>
  <c r="I30" i="15" s="1"/>
  <c r="G12" i="15"/>
  <c r="V10" i="15"/>
  <c r="L26" i="23" l="1"/>
  <c r="E9" i="23"/>
  <c r="G9" i="23" s="1"/>
  <c r="H9" i="23" s="1"/>
  <c r="H31" i="15"/>
  <c r="I31" i="15" s="1"/>
  <c r="G11" i="15"/>
  <c r="V11" i="15" s="1"/>
  <c r="V12" i="15"/>
  <c r="G13" i="15"/>
  <c r="G14" i="15" s="1"/>
  <c r="I27" i="23" l="1"/>
  <c r="L27" i="23" s="1"/>
  <c r="I28" i="23" s="1"/>
  <c r="L28" i="23" s="1"/>
  <c r="I29" i="23" s="1"/>
  <c r="L29" i="23" s="1"/>
  <c r="O26" i="23"/>
  <c r="O9" i="23"/>
  <c r="V13" i="15"/>
  <c r="H32" i="15"/>
  <c r="I32" i="15" s="1"/>
  <c r="E10" i="23" l="1"/>
  <c r="G10" i="23" s="1"/>
  <c r="H10" i="23" s="1"/>
  <c r="H34" i="15"/>
  <c r="I34" i="15" s="1"/>
  <c r="H36" i="15" s="1"/>
  <c r="I36" i="15" s="1"/>
  <c r="H37" i="15" s="1"/>
  <c r="I37" i="15" s="1"/>
  <c r="H38" i="15" s="1"/>
  <c r="I38" i="15" s="1"/>
  <c r="H11" i="23" l="1"/>
  <c r="O11" i="23" s="1"/>
  <c r="O10" i="23"/>
  <c r="E13" i="23"/>
  <c r="E12" i="23"/>
  <c r="G12" i="23" s="1"/>
  <c r="H12" i="23" s="1"/>
  <c r="E16" i="23" l="1"/>
  <c r="O12" i="23"/>
  <c r="G13" i="23"/>
  <c r="H13" i="23" s="1"/>
  <c r="E14" i="23"/>
  <c r="H15" i="23" l="1"/>
  <c r="O13" i="23"/>
  <c r="H16" i="23" l="1"/>
  <c r="E18" i="23" s="1"/>
  <c r="G18" i="23"/>
  <c r="H18" i="23" s="1"/>
  <c r="O16" i="23" l="1"/>
  <c r="H19" i="23"/>
  <c r="O18" i="23"/>
  <c r="C30" i="23" s="1"/>
  <c r="C32" i="23" s="1"/>
  <c r="E20" i="23" l="1"/>
  <c r="H20" i="23" s="1"/>
  <c r="O19" i="23"/>
  <c r="O20" i="23" l="1"/>
  <c r="E21" i="23"/>
  <c r="H21" i="23"/>
  <c r="O21" i="23" l="1"/>
  <c r="E22" i="23"/>
  <c r="H22" i="23"/>
  <c r="E23" i="23" l="1"/>
  <c r="H23" i="23" s="1"/>
  <c r="O22" i="23"/>
  <c r="O23" i="23" l="1"/>
  <c r="E25" i="23"/>
  <c r="H25" i="23"/>
  <c r="O25" i="23" l="1"/>
  <c r="E27" i="23"/>
  <c r="H27" i="23" s="1"/>
  <c r="K15" i="15"/>
  <c r="J16" i="15" s="1"/>
  <c r="O27" i="23" l="1"/>
  <c r="E28" i="23"/>
  <c r="H28" i="23" s="1"/>
  <c r="K16" i="15"/>
  <c r="O28" i="23" l="1"/>
  <c r="E29" i="23"/>
  <c r="H29" i="23" s="1"/>
  <c r="O29" i="23" s="1"/>
  <c r="J30" i="23" s="1"/>
  <c r="J32" i="23" s="1"/>
  <c r="K17" i="15"/>
  <c r="J18" i="15" s="1"/>
  <c r="K18" i="15" l="1"/>
  <c r="J19" i="15" l="1"/>
  <c r="K19" i="15" s="1"/>
  <c r="J20" i="15" s="1"/>
  <c r="K20" i="15" l="1"/>
  <c r="J21" i="15" l="1"/>
  <c r="K21" i="15" s="1"/>
  <c r="J25" i="15" s="1"/>
  <c r="K22" i="15" l="1"/>
  <c r="K25" i="15"/>
  <c r="J27" i="15" l="1"/>
  <c r="K27" i="15" s="1"/>
  <c r="K24" i="15"/>
  <c r="J28" i="15" l="1"/>
  <c r="K28" i="15" s="1"/>
  <c r="J30" i="15" s="1"/>
  <c r="K30" i="15" l="1"/>
  <c r="J31" i="15" l="1"/>
  <c r="K31" i="15" s="1"/>
  <c r="J32" i="15" l="1"/>
  <c r="K32" i="15" s="1"/>
  <c r="J34" i="15" l="1"/>
  <c r="K34" i="15" s="1"/>
  <c r="J36" i="15" l="1"/>
  <c r="K36" i="15" s="1"/>
  <c r="J37" i="15" s="1"/>
  <c r="K37" i="15" s="1"/>
  <c r="J38" i="15" s="1"/>
  <c r="K38" i="15" s="1"/>
  <c r="V14" i="15"/>
  <c r="E15" i="15"/>
  <c r="G15" i="15" s="1"/>
  <c r="V15" i="15" s="1"/>
  <c r="E16" i="15" l="1"/>
  <c r="G16" i="15" s="1"/>
  <c r="V16" i="15" l="1"/>
  <c r="G17" i="15"/>
  <c r="E18" i="15"/>
  <c r="G18" i="15" s="1"/>
  <c r="E19" i="15" s="1"/>
  <c r="G19" i="15" s="1"/>
  <c r="E20" i="15" s="1"/>
  <c r="G20" i="15" s="1"/>
  <c r="E21" i="15" s="1"/>
  <c r="G21" i="15" s="1"/>
  <c r="V21" i="15" s="1"/>
  <c r="V17" i="15"/>
  <c r="G22" i="15" l="1"/>
  <c r="G24" i="15" s="1"/>
  <c r="E25" i="15"/>
  <c r="G25" i="15" s="1"/>
  <c r="V25" i="15" s="1"/>
  <c r="V26" i="15" s="1"/>
  <c r="V18" i="15"/>
  <c r="G26" i="15" l="1"/>
  <c r="E27" i="15" s="1"/>
  <c r="G27" i="15" s="1"/>
  <c r="V19" i="15"/>
  <c r="V27" i="15" l="1"/>
  <c r="C40" i="15"/>
  <c r="C42" i="15" s="1"/>
  <c r="E28" i="15"/>
  <c r="G28" i="15" s="1"/>
  <c r="V28" i="15" s="1"/>
  <c r="V20" i="15"/>
  <c r="G29" i="15" l="1"/>
  <c r="E30" i="15" s="1"/>
  <c r="G30" i="15" s="1"/>
  <c r="V30" i="15" s="1"/>
  <c r="V22" i="15"/>
  <c r="E31" i="15" l="1"/>
  <c r="V24" i="15"/>
  <c r="G31" i="15" l="1"/>
  <c r="V31" i="15" s="1"/>
  <c r="E32" i="15" l="1"/>
  <c r="G32" i="15" s="1"/>
  <c r="V32" i="15" s="1"/>
  <c r="E34" i="15" l="1"/>
  <c r="G34" i="15" s="1"/>
  <c r="V34" i="15" s="1"/>
  <c r="G35" i="15" l="1"/>
  <c r="E36" i="15"/>
  <c r="G36" i="15" s="1"/>
  <c r="V36" i="15" s="1"/>
  <c r="E37" i="15" l="1"/>
  <c r="G37" i="15" s="1"/>
  <c r="E38" i="15" l="1"/>
  <c r="G38" i="15" s="1"/>
  <c r="V38" i="15" s="1"/>
  <c r="V37" i="15"/>
</calcChain>
</file>

<file path=xl/sharedStrings.xml><?xml version="1.0" encoding="utf-8"?>
<sst xmlns="http://schemas.openxmlformats.org/spreadsheetml/2006/main" count="202" uniqueCount="96">
  <si>
    <t>DATE</t>
  </si>
  <si>
    <t>GAIN</t>
  </si>
  <si>
    <t>ITEM</t>
  </si>
  <si>
    <t>DEPOSITS</t>
  </si>
  <si>
    <t>BALANCE</t>
  </si>
  <si>
    <t>TOTAL:</t>
  </si>
  <si>
    <t>ACCOUNT DEPOSITS</t>
  </si>
  <si>
    <t>ACCOUNT BALANCE</t>
  </si>
  <si>
    <t>TRADE %</t>
  </si>
  <si>
    <t>DENNIS BALANCE</t>
  </si>
  <si>
    <t>RYAN GAIN</t>
  </si>
  <si>
    <t>RYAN BALANCE</t>
  </si>
  <si>
    <t>BROOKS GAIN</t>
  </si>
  <si>
    <t>BROOKS BALANCE</t>
  </si>
  <si>
    <t>CUPP GAIN</t>
  </si>
  <si>
    <t>CUPP BALANCE</t>
  </si>
  <si>
    <t>TRADE 10</t>
  </si>
  <si>
    <t>TRADE 11</t>
  </si>
  <si>
    <t>TRADE 12</t>
  </si>
  <si>
    <t>TRADE 13</t>
  </si>
  <si>
    <t>DENNIS- TRANSFER</t>
  </si>
  <si>
    <t>DENNIS - DEPOSIT</t>
  </si>
  <si>
    <t>TRADE 14</t>
  </si>
  <si>
    <t>TRADE 15</t>
  </si>
  <si>
    <t>TRADE 17</t>
  </si>
  <si>
    <t>TRADE 18</t>
  </si>
  <si>
    <t>TRADE 19</t>
  </si>
  <si>
    <t>TRADE 20</t>
  </si>
  <si>
    <t>RYAN</t>
  </si>
  <si>
    <t>BROOKS</t>
  </si>
  <si>
    <t>TRADE 21</t>
  </si>
  <si>
    <t>PROFIT SPLIT</t>
  </si>
  <si>
    <t>COVERED</t>
  </si>
  <si>
    <t>BALANCES</t>
  </si>
  <si>
    <t>CUPP</t>
  </si>
  <si>
    <t>TRADE 22</t>
  </si>
  <si>
    <t>INVESTOR</t>
  </si>
  <si>
    <t>DESCRIPTION</t>
  </si>
  <si>
    <t>DAVID    GAIN</t>
  </si>
  <si>
    <t>DAVID BALANCE</t>
  </si>
  <si>
    <t>ZOESCH #1 GAIN</t>
  </si>
  <si>
    <t>ZOESCH #1 BALANCE</t>
  </si>
  <si>
    <t>ZOESCH #2 GAIN</t>
  </si>
  <si>
    <t>ZOESCH #2 BALANCE</t>
  </si>
  <si>
    <t>BROOKS  GAIN</t>
  </si>
  <si>
    <t>Phone Setup</t>
  </si>
  <si>
    <t>Deposit</t>
  </si>
  <si>
    <t>Transfer- phone</t>
  </si>
  <si>
    <t>Transfer- Tommy</t>
  </si>
  <si>
    <t>Ryan Deposit</t>
  </si>
  <si>
    <t>Zoesch Deposit</t>
  </si>
  <si>
    <t>Brooks Deposit</t>
  </si>
  <si>
    <t>Cupp</t>
  </si>
  <si>
    <t>TRADE 23</t>
  </si>
  <si>
    <t>TRADE 24</t>
  </si>
  <si>
    <t>TRADE 25</t>
  </si>
  <si>
    <t>TRADE 26</t>
  </si>
  <si>
    <t>TRADE 27</t>
  </si>
  <si>
    <t>TRADE 28</t>
  </si>
  <si>
    <t>GAINS</t>
  </si>
  <si>
    <t>TRADE  %</t>
  </si>
  <si>
    <t>DEPOSIT</t>
  </si>
  <si>
    <t>INVESTOR 1</t>
  </si>
  <si>
    <t>PROFIT</t>
  </si>
  <si>
    <t>1 - TRADE 23</t>
  </si>
  <si>
    <t>2 - TRADE 24</t>
  </si>
  <si>
    <t>3 - TRADE 25</t>
  </si>
  <si>
    <t>4 - TRADE 26</t>
  </si>
  <si>
    <t>5 - TRADE 27</t>
  </si>
  <si>
    <t>6 - TRADE 28</t>
  </si>
  <si>
    <t>1 - TRADE 24</t>
  </si>
  <si>
    <t>2 - TRADE 25</t>
  </si>
  <si>
    <t>3 - TRADE 26</t>
  </si>
  <si>
    <t>4 - TRADE 27</t>
  </si>
  <si>
    <t>2 - TRADE 28</t>
  </si>
  <si>
    <t>3 - TRADE 29</t>
  </si>
  <si>
    <t>4 - TRADE 30</t>
  </si>
  <si>
    <t>60 SECOND TRADES ONLY</t>
  </si>
  <si>
    <t>120 SECOND TRADES ONLY</t>
  </si>
  <si>
    <t>60 SECOND TRADES ONLY (OVER $800,000)</t>
  </si>
  <si>
    <t>120 SECOND TRADES ONLY (OVER $12,000,000)</t>
  </si>
  <si>
    <t>1 - TRADE 27</t>
  </si>
  <si>
    <t>ZOESCH #3 GAIN</t>
  </si>
  <si>
    <t>ZOESCH #3 BALANCE</t>
  </si>
  <si>
    <t>WITHDRAWL</t>
  </si>
  <si>
    <t>LOAN PAYMENT:</t>
  </si>
  <si>
    <t>USDT PAYMENT:</t>
  </si>
  <si>
    <t>HOUSE</t>
  </si>
  <si>
    <t>ZOESCH HOUSE FEES</t>
  </si>
  <si>
    <t>Zoesch Withdrawl</t>
  </si>
  <si>
    <t>ZOESCH NET GAIN</t>
  </si>
  <si>
    <t>OLD SPLIT</t>
  </si>
  <si>
    <t>NET GAIN</t>
  </si>
  <si>
    <t>ZOESCH TOTAL</t>
  </si>
  <si>
    <t>TODAY'S TOTAL:</t>
  </si>
  <si>
    <t>FUTURE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</si>
</sst>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[$$-409]* #,##0_);_([$$-409]* \(#,##0\);_([$$-409]* &quot;-&quot;??_);_(@_)"/>
    <numFmt numFmtId="168" formatCode="_(&quot;$&quot;* #,##0_);_(&quot;$&quot;* \(#,##0\);_(&quot;$&quot;* &quot;-&quot;??_);_(@_)"/>
    <numFmt numFmtId="172" formatCode="0.0%"/>
    <numFmt numFmtId="178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444444"/>
      <name val="Calibri"/>
      <family val="2"/>
      <charset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165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1" fillId="4" borderId="2" xfId="0" applyNumberFormat="1" applyFont="1" applyFill="1" applyBorder="1" applyAlignment="1">
      <alignment horizontal="center" vertical="center" wrapText="1"/>
    </xf>
    <xf numFmtId="10" fontId="1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0" fontId="1" fillId="4" borderId="2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right"/>
    </xf>
    <xf numFmtId="44" fontId="4" fillId="0" borderId="0" xfId="0" applyNumberFormat="1" applyFont="1"/>
    <xf numFmtId="0" fontId="4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5" fillId="0" borderId="0" xfId="0" applyNumberFormat="1" applyFont="1"/>
    <xf numFmtId="44" fontId="7" fillId="0" borderId="0" xfId="0" applyNumberFormat="1" applyFont="1" applyAlignment="1">
      <alignment horizontal="center" vertical="center"/>
    </xf>
    <xf numFmtId="44" fontId="5" fillId="5" borderId="3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/>
    </xf>
    <xf numFmtId="44" fontId="5" fillId="5" borderId="6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center" wrapText="1"/>
    </xf>
    <xf numFmtId="166" fontId="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/>
    </xf>
    <xf numFmtId="166" fontId="0" fillId="0" borderId="0" xfId="0" applyNumberFormat="1" applyAlignment="1">
      <alignment horizontal="center" wrapText="1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168" fontId="4" fillId="0" borderId="0" xfId="0" applyNumberFormat="1" applyFont="1"/>
    <xf numFmtId="168" fontId="0" fillId="0" borderId="0" xfId="0" applyNumberFormat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168" fontId="1" fillId="2" borderId="9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0" fillId="4" borderId="9" xfId="0" applyNumberForma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0" fillId="4" borderId="9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166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2" fillId="4" borderId="9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0" fontId="2" fillId="2" borderId="9" xfId="0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center" vertical="center"/>
    </xf>
    <xf numFmtId="166" fontId="8" fillId="2" borderId="9" xfId="0" applyNumberFormat="1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0" fontId="0" fillId="2" borderId="9" xfId="0" applyNumberForma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2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2" borderId="9" xfId="1" applyNumberFormat="1" applyFont="1" applyFill="1" applyBorder="1" applyAlignment="1">
      <alignment horizontal="center"/>
    </xf>
    <xf numFmtId="10" fontId="1" fillId="2" borderId="9" xfId="1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 vertical="center"/>
    </xf>
    <xf numFmtId="9" fontId="1" fillId="2" borderId="9" xfId="1" applyFont="1" applyFill="1" applyBorder="1" applyAlignment="1">
      <alignment horizontal="center"/>
    </xf>
    <xf numFmtId="0" fontId="19" fillId="2" borderId="9" xfId="0" applyNumberFormat="1" applyFont="1" applyFill="1" applyBorder="1" applyAlignment="1">
      <alignment horizontal="center" vertical="center"/>
    </xf>
    <xf numFmtId="166" fontId="0" fillId="3" borderId="9" xfId="0" applyNumberFormat="1" applyFill="1" applyBorder="1" applyAlignment="1">
      <alignment horizontal="center"/>
    </xf>
    <xf numFmtId="166" fontId="1" fillId="3" borderId="9" xfId="0" applyNumberFormat="1" applyFont="1" applyFill="1" applyBorder="1" applyAlignment="1">
      <alignment horizontal="center"/>
    </xf>
    <xf numFmtId="14" fontId="8" fillId="3" borderId="9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66" fontId="1" fillId="3" borderId="9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172" fontId="0" fillId="2" borderId="9" xfId="1" applyNumberFormat="1" applyFont="1" applyFill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72" fontId="19" fillId="0" borderId="9" xfId="1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65" fontId="0" fillId="4" borderId="9" xfId="0" applyNumberForma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/>
    </xf>
    <xf numFmtId="166" fontId="16" fillId="3" borderId="9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9" fontId="1" fillId="2" borderId="9" xfId="0" applyNumberFormat="1" applyFont="1" applyFill="1" applyBorder="1" applyAlignment="1">
      <alignment horizontal="center" vertical="center"/>
    </xf>
    <xf numFmtId="172" fontId="1" fillId="2" borderId="9" xfId="1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172" fontId="7" fillId="0" borderId="0" xfId="1" applyNumberFormat="1" applyFont="1" applyAlignment="1">
      <alignment horizontal="center" vertical="center"/>
    </xf>
    <xf numFmtId="172" fontId="4" fillId="2" borderId="9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168" fontId="7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7C58-5E91-469C-BBA3-B9FF1B177AC9}">
  <sheetPr>
    <pageSetUpPr fitToPage="1"/>
  </sheetPr>
  <dimension ref="A1:V42"/>
  <sheetViews>
    <sheetView workbookViewId="0">
      <pane ySplit="1" topLeftCell="A18" activePane="bottomLeft" state="frozen"/>
      <selection pane="bottomLeft" activeCell="G40" sqref="G40"/>
    </sheetView>
  </sheetViews>
  <sheetFormatPr defaultColWidth="8.59765625" defaultRowHeight="14.25" x14ac:dyDescent="0.45"/>
  <cols>
    <col min="1" max="1" width="9.73046875" style="43" customWidth="1"/>
    <col min="2" max="2" width="14.73046875" style="45" customWidth="1"/>
    <col min="3" max="3" width="14.59765625" style="5" customWidth="1"/>
    <col min="4" max="4" width="8.73046875" style="3" customWidth="1"/>
    <col min="5" max="6" width="11.73046875" style="3" customWidth="1"/>
    <col min="7" max="7" width="12.73046875" style="3" customWidth="1"/>
    <col min="8" max="8" width="10.73046875" style="39" customWidth="1"/>
    <col min="9" max="9" width="10.73046875" style="8" customWidth="1"/>
    <col min="10" max="10" width="14.59765625" style="5" customWidth="1"/>
    <col min="11" max="11" width="10.73046875" style="8" customWidth="1"/>
    <col min="12" max="16" width="10.73046875" style="5" customWidth="1"/>
    <col min="17" max="17" width="10.73046875" style="8" customWidth="1"/>
    <col min="18" max="18" width="10.73046875" style="5" customWidth="1"/>
    <col min="19" max="19" width="10.73046875" style="8" customWidth="1"/>
    <col min="20" max="20" width="10.73046875" style="5" customWidth="1"/>
    <col min="21" max="21" width="10.73046875" style="8" customWidth="1"/>
    <col min="22" max="22" width="15.73046875" style="5" customWidth="1"/>
    <col min="23" max="16384" width="8.59765625" style="3"/>
  </cols>
  <sheetData>
    <row r="1" spans="1:22" s="2" customFormat="1" ht="45" customHeight="1" thickBot="1" x14ac:dyDescent="0.5">
      <c r="A1" s="12" t="s">
        <v>0</v>
      </c>
      <c r="B1" s="12" t="s">
        <v>37</v>
      </c>
      <c r="C1" s="15" t="s">
        <v>6</v>
      </c>
      <c r="D1" s="20" t="s">
        <v>8</v>
      </c>
      <c r="E1" s="92" t="s">
        <v>1</v>
      </c>
      <c r="F1" s="92" t="s">
        <v>87</v>
      </c>
      <c r="G1" s="93" t="s">
        <v>7</v>
      </c>
      <c r="H1" s="13" t="s">
        <v>38</v>
      </c>
      <c r="I1" s="15" t="s">
        <v>39</v>
      </c>
      <c r="J1" s="15" t="s">
        <v>40</v>
      </c>
      <c r="K1" s="16" t="s">
        <v>41</v>
      </c>
      <c r="L1" s="16" t="s">
        <v>42</v>
      </c>
      <c r="M1" s="16" t="s">
        <v>88</v>
      </c>
      <c r="N1" s="16" t="s">
        <v>90</v>
      </c>
      <c r="O1" s="16" t="s">
        <v>43</v>
      </c>
      <c r="P1" s="21" t="s">
        <v>10</v>
      </c>
      <c r="Q1" s="16" t="s">
        <v>11</v>
      </c>
      <c r="R1" s="16" t="s">
        <v>44</v>
      </c>
      <c r="S1" s="16" t="s">
        <v>13</v>
      </c>
      <c r="T1" s="16" t="s">
        <v>14</v>
      </c>
      <c r="U1" s="16" t="s">
        <v>15</v>
      </c>
      <c r="V1" s="11" t="s">
        <v>9</v>
      </c>
    </row>
    <row r="2" spans="1:22" ht="18" customHeight="1" thickBot="1" x14ac:dyDescent="0.5">
      <c r="A2" s="44">
        <v>45146</v>
      </c>
      <c r="B2" s="45" t="s">
        <v>45</v>
      </c>
      <c r="D2" s="5"/>
      <c r="E2" s="5"/>
      <c r="F2" s="5"/>
      <c r="G2" s="5"/>
      <c r="H2" s="5"/>
      <c r="V2" s="23">
        <f t="shared" ref="V2:V9" si="0">G2</f>
        <v>0</v>
      </c>
    </row>
    <row r="3" spans="1:22" ht="18" customHeight="1" thickBot="1" x14ac:dyDescent="0.5">
      <c r="A3" s="44">
        <v>45148</v>
      </c>
      <c r="B3" s="45" t="s">
        <v>46</v>
      </c>
      <c r="C3" s="74">
        <v>20000</v>
      </c>
      <c r="D3" s="5"/>
      <c r="E3" s="5"/>
      <c r="F3" s="5"/>
      <c r="G3" s="22">
        <f>G2+C3</f>
        <v>20000</v>
      </c>
      <c r="V3" s="23">
        <f t="shared" si="0"/>
        <v>20000</v>
      </c>
    </row>
    <row r="4" spans="1:22" ht="18" customHeight="1" x14ac:dyDescent="0.45">
      <c r="A4" s="44">
        <v>45150</v>
      </c>
      <c r="B4" s="45" t="s">
        <v>16</v>
      </c>
      <c r="D4" s="6">
        <v>0.1633</v>
      </c>
      <c r="E4" s="22">
        <f>G3*D4/2</f>
        <v>1633</v>
      </c>
      <c r="F4" s="22"/>
      <c r="G4" s="22">
        <f>G3+E4</f>
        <v>21633</v>
      </c>
      <c r="V4" s="23">
        <f t="shared" si="0"/>
        <v>21633</v>
      </c>
    </row>
    <row r="5" spans="1:22" ht="18" customHeight="1" thickBot="1" x14ac:dyDescent="0.5">
      <c r="A5" s="44">
        <v>45156</v>
      </c>
      <c r="B5" s="45" t="s">
        <v>17</v>
      </c>
      <c r="D5" s="6">
        <v>0.19259999999999999</v>
      </c>
      <c r="E5" s="22">
        <f>G4*D5/2</f>
        <v>2083.2579000000001</v>
      </c>
      <c r="F5" s="22"/>
      <c r="G5" s="22">
        <f>G4+E5</f>
        <v>23716.257900000001</v>
      </c>
      <c r="V5" s="23">
        <f t="shared" si="0"/>
        <v>23716.257900000001</v>
      </c>
    </row>
    <row r="6" spans="1:22" ht="18" customHeight="1" thickBot="1" x14ac:dyDescent="0.5">
      <c r="A6" s="44">
        <v>45160</v>
      </c>
      <c r="B6" s="48" t="s">
        <v>46</v>
      </c>
      <c r="C6" s="74">
        <v>30000</v>
      </c>
      <c r="D6" s="5"/>
      <c r="E6" s="22"/>
      <c r="F6" s="22"/>
      <c r="G6" s="22">
        <f>G5+C6</f>
        <v>53716.257899999997</v>
      </c>
      <c r="V6" s="23">
        <f t="shared" si="0"/>
        <v>53716.257899999997</v>
      </c>
    </row>
    <row r="7" spans="1:22" ht="18" customHeight="1" x14ac:dyDescent="0.45">
      <c r="A7" s="44">
        <v>45161</v>
      </c>
      <c r="B7" s="45" t="s">
        <v>18</v>
      </c>
      <c r="C7" s="22"/>
      <c r="D7" s="6">
        <v>0.17979999999999999</v>
      </c>
      <c r="E7" s="22">
        <f>G6*D7/2</f>
        <v>4829.0915852099997</v>
      </c>
      <c r="F7" s="22"/>
      <c r="G7" s="22">
        <f>G6+E7</f>
        <v>58545.349485209998</v>
      </c>
      <c r="V7" s="23">
        <f t="shared" si="0"/>
        <v>58545.349485209998</v>
      </c>
    </row>
    <row r="8" spans="1:22" ht="18" customHeight="1" x14ac:dyDescent="0.45">
      <c r="A8" s="44">
        <v>45169</v>
      </c>
      <c r="B8" s="45" t="s">
        <v>19</v>
      </c>
      <c r="C8" s="22"/>
      <c r="D8" s="6">
        <v>0.185</v>
      </c>
      <c r="E8" s="22">
        <f>G7*D8/2</f>
        <v>5415.4448273819244</v>
      </c>
      <c r="F8" s="22"/>
      <c r="G8" s="22">
        <f>G7+E8</f>
        <v>63960.794312591919</v>
      </c>
      <c r="V8" s="23">
        <f t="shared" si="0"/>
        <v>63960.794312591919</v>
      </c>
    </row>
    <row r="9" spans="1:22" ht="18" customHeight="1" x14ac:dyDescent="0.45">
      <c r="A9" s="44">
        <v>45173</v>
      </c>
      <c r="B9" s="45" t="s">
        <v>47</v>
      </c>
      <c r="C9" s="22"/>
      <c r="D9" s="5"/>
      <c r="E9" s="22"/>
      <c r="F9" s="22"/>
      <c r="G9" s="22">
        <f>G8</f>
        <v>63960.794312591919</v>
      </c>
      <c r="V9" s="23">
        <f t="shared" si="0"/>
        <v>63960.794312591919</v>
      </c>
    </row>
    <row r="10" spans="1:22" ht="18" customHeight="1" x14ac:dyDescent="0.45">
      <c r="A10" s="44">
        <v>45176</v>
      </c>
      <c r="B10" s="48" t="s">
        <v>46</v>
      </c>
      <c r="C10" s="22">
        <v>30000</v>
      </c>
      <c r="D10" s="5"/>
      <c r="E10" s="22"/>
      <c r="F10" s="22"/>
      <c r="G10" s="22">
        <f>G9+C10</f>
        <v>93960.794312591926</v>
      </c>
      <c r="I10" s="22"/>
      <c r="V10" s="23">
        <f>G10-I10</f>
        <v>93960.794312591926</v>
      </c>
    </row>
    <row r="11" spans="1:22" ht="18" customHeight="1" x14ac:dyDescent="0.45">
      <c r="A11" s="44">
        <v>45174</v>
      </c>
      <c r="B11" s="48" t="s">
        <v>46</v>
      </c>
      <c r="C11" s="22">
        <v>10000</v>
      </c>
      <c r="D11" s="5"/>
      <c r="E11" s="22"/>
      <c r="F11" s="22"/>
      <c r="G11" s="22">
        <f>G12+C11</f>
        <v>320780.7943125919</v>
      </c>
      <c r="I11" s="22">
        <v>10000</v>
      </c>
      <c r="V11" s="23">
        <f>G11-I11</f>
        <v>310780.7943125919</v>
      </c>
    </row>
    <row r="12" spans="1:22" ht="18" customHeight="1" thickBot="1" x14ac:dyDescent="0.5">
      <c r="A12" s="44">
        <v>45176</v>
      </c>
      <c r="B12" s="48" t="s">
        <v>46</v>
      </c>
      <c r="C12" s="22">
        <v>216820</v>
      </c>
      <c r="D12" s="5"/>
      <c r="E12" s="22"/>
      <c r="F12" s="22"/>
      <c r="G12" s="22">
        <f>G10+C12</f>
        <v>310780.7943125919</v>
      </c>
      <c r="I12" s="22">
        <v>10000</v>
      </c>
      <c r="V12" s="23">
        <f>G12-I12</f>
        <v>300780.7943125919</v>
      </c>
    </row>
    <row r="13" spans="1:22" ht="18" customHeight="1" thickBot="1" x14ac:dyDescent="0.5">
      <c r="A13" s="44">
        <v>45180</v>
      </c>
      <c r="B13" s="48" t="s">
        <v>46</v>
      </c>
      <c r="C13" s="22">
        <v>25000</v>
      </c>
      <c r="D13" s="5"/>
      <c r="E13" s="22"/>
      <c r="F13" s="22"/>
      <c r="G13" s="22">
        <f>G12+C13</f>
        <v>335780.7943125919</v>
      </c>
      <c r="H13" s="103" t="s">
        <v>91</v>
      </c>
      <c r="I13" s="76">
        <v>10000</v>
      </c>
      <c r="J13" s="103" t="s">
        <v>91</v>
      </c>
      <c r="K13" s="76">
        <f>C13</f>
        <v>25000</v>
      </c>
      <c r="L13" s="23"/>
      <c r="M13" s="23"/>
      <c r="N13" s="23"/>
      <c r="O13" s="23"/>
      <c r="V13" s="23">
        <f>G13-I13-K13</f>
        <v>300780.7943125919</v>
      </c>
    </row>
    <row r="14" spans="1:22" ht="18" customHeight="1" x14ac:dyDescent="0.45">
      <c r="A14" s="44">
        <v>45183</v>
      </c>
      <c r="B14" s="48" t="s">
        <v>46</v>
      </c>
      <c r="C14" s="22">
        <v>37400</v>
      </c>
      <c r="D14" s="5"/>
      <c r="E14" s="22"/>
      <c r="F14" s="22"/>
      <c r="G14" s="22">
        <f>G13+C14</f>
        <v>373180.7943125919</v>
      </c>
      <c r="I14" s="22">
        <v>10000</v>
      </c>
      <c r="K14" s="22">
        <f>K13</f>
        <v>25000</v>
      </c>
      <c r="L14" s="23"/>
      <c r="M14" s="23"/>
      <c r="N14" s="23"/>
      <c r="O14" s="23"/>
      <c r="V14" s="23">
        <f>G14-I14-K14</f>
        <v>338180.7943125919</v>
      </c>
    </row>
    <row r="15" spans="1:22" ht="18" customHeight="1" x14ac:dyDescent="0.45">
      <c r="A15" s="44">
        <v>45183</v>
      </c>
      <c r="B15" s="46" t="s">
        <v>22</v>
      </c>
      <c r="C15" s="22"/>
      <c r="D15" s="6">
        <v>0.26900000000000002</v>
      </c>
      <c r="E15" s="22">
        <f>G14*D15</f>
        <v>100385.63367008722</v>
      </c>
      <c r="F15" s="94">
        <v>0.66700000000000004</v>
      </c>
      <c r="G15" s="22">
        <f>(E15*F15)+G14</f>
        <v>440138.01197054004</v>
      </c>
      <c r="H15" s="42">
        <f>I14*D15*0.667/2</f>
        <v>897.11500000000001</v>
      </c>
      <c r="I15" s="22">
        <f>I14+H15</f>
        <v>10897.115</v>
      </c>
      <c r="J15" s="23">
        <f>(K14*(D15*0.667))/2</f>
        <v>2242.7875000000004</v>
      </c>
      <c r="K15" s="22">
        <f>K14+J15</f>
        <v>27242.787499999999</v>
      </c>
      <c r="L15" s="23"/>
      <c r="M15" s="23"/>
      <c r="N15" s="23"/>
      <c r="O15" s="23"/>
      <c r="V15" s="23">
        <f>G15-I15-K15</f>
        <v>401998.10947054008</v>
      </c>
    </row>
    <row r="16" spans="1:22" ht="18" customHeight="1" x14ac:dyDescent="0.45">
      <c r="A16" s="44">
        <v>45195</v>
      </c>
      <c r="B16" s="46" t="s">
        <v>23</v>
      </c>
      <c r="C16" s="22"/>
      <c r="D16" s="6">
        <v>0.35639999999999999</v>
      </c>
      <c r="E16" s="22">
        <f>G15*D16</f>
        <v>156865.18746630047</v>
      </c>
      <c r="F16" s="94">
        <v>0.66700000000000004</v>
      </c>
      <c r="G16" s="22">
        <f>E16*F16+G15</f>
        <v>544767.09201056242</v>
      </c>
      <c r="H16" s="42">
        <f>(I15*(D16*0.667))/2</f>
        <v>1295.2245506310001</v>
      </c>
      <c r="I16" s="22">
        <f>I15+H16</f>
        <v>12192.339550631001</v>
      </c>
      <c r="J16" s="23">
        <f>(K15*(D16*0.667))/2</f>
        <v>3238.0613765775001</v>
      </c>
      <c r="K16" s="22">
        <f>K15+J16</f>
        <v>30480.8488765775</v>
      </c>
      <c r="L16" s="23"/>
      <c r="M16" s="23"/>
      <c r="N16" s="23"/>
      <c r="O16" s="23"/>
      <c r="V16" s="23">
        <f>G16-I16-K16</f>
        <v>502093.90358335391</v>
      </c>
    </row>
    <row r="17" spans="1:22" ht="18" customHeight="1" x14ac:dyDescent="0.45">
      <c r="A17" s="44">
        <v>45200</v>
      </c>
      <c r="B17" s="46" t="s">
        <v>48</v>
      </c>
      <c r="C17" s="22">
        <v>8000</v>
      </c>
      <c r="D17" s="6">
        <v>0.17</v>
      </c>
      <c r="E17" s="22">
        <f>C17*D17</f>
        <v>1360</v>
      </c>
      <c r="F17" s="94">
        <v>0.66700000000000004</v>
      </c>
      <c r="G17" s="22">
        <f>+G16*F17+E17</f>
        <v>364719.65037104517</v>
      </c>
      <c r="H17" s="42"/>
      <c r="I17" s="22">
        <f>I16</f>
        <v>12192.339550631001</v>
      </c>
      <c r="J17" s="23"/>
      <c r="K17" s="22">
        <f>K16</f>
        <v>30480.8488765775</v>
      </c>
      <c r="L17" s="23"/>
      <c r="M17" s="23"/>
      <c r="N17" s="23"/>
      <c r="O17" s="23"/>
      <c r="V17" s="23">
        <f>G17-I17-K17</f>
        <v>322046.46194383665</v>
      </c>
    </row>
    <row r="18" spans="1:22" x14ac:dyDescent="0.45">
      <c r="A18" s="44">
        <v>45201</v>
      </c>
      <c r="B18" s="46" t="s">
        <v>24</v>
      </c>
      <c r="C18" s="22"/>
      <c r="D18" s="6">
        <v>0.19120000000000001</v>
      </c>
      <c r="E18" s="22">
        <f>G17*D18</f>
        <v>69734.397150943842</v>
      </c>
      <c r="F18" s="94">
        <v>0.66700000000000004</v>
      </c>
      <c r="G18" s="22">
        <f>E18*F18+G17</f>
        <v>411232.49327072472</v>
      </c>
      <c r="H18" s="42">
        <f>(I17*(D18*0.667))/2</f>
        <v>777.44696991389594</v>
      </c>
      <c r="I18" s="22">
        <f>I17+H18</f>
        <v>12969.786520544896</v>
      </c>
      <c r="J18" s="23">
        <f>K17*(D18*0.667)/2</f>
        <v>1943.6174247847398</v>
      </c>
      <c r="K18" s="22">
        <f>K17+J18</f>
        <v>32424.466301362241</v>
      </c>
      <c r="L18" s="23"/>
      <c r="M18" s="23"/>
      <c r="N18" s="23"/>
      <c r="O18" s="23"/>
      <c r="V18" s="23">
        <f>G18-I18-K18</f>
        <v>365838.24044881755</v>
      </c>
    </row>
    <row r="19" spans="1:22" x14ac:dyDescent="0.45">
      <c r="A19" s="44">
        <v>45204</v>
      </c>
      <c r="B19" s="46" t="s">
        <v>25</v>
      </c>
      <c r="C19" s="22"/>
      <c r="D19" s="6">
        <v>0.11169999999999999</v>
      </c>
      <c r="E19" s="22">
        <f>G18*D19</f>
        <v>45934.66949833995</v>
      </c>
      <c r="F19" s="94">
        <v>0.66700000000000004</v>
      </c>
      <c r="G19" s="22">
        <f>E19*F19+G18</f>
        <v>441870.91782611748</v>
      </c>
      <c r="H19" s="42">
        <f>I18*(D19*0.667)/2</f>
        <v>483.14983897401243</v>
      </c>
      <c r="I19" s="22">
        <f>I18+H19</f>
        <v>13452.936359518908</v>
      </c>
      <c r="J19" s="23">
        <f>K18*(D19*0.667)/2</f>
        <v>1207.8745974350311</v>
      </c>
      <c r="K19" s="22">
        <f>K18+J19</f>
        <v>33632.340898797273</v>
      </c>
      <c r="L19" s="23"/>
      <c r="M19" s="23"/>
      <c r="N19" s="23"/>
      <c r="O19" s="23"/>
      <c r="V19" s="23">
        <f>G19-I19-K19</f>
        <v>394785.64056780131</v>
      </c>
    </row>
    <row r="20" spans="1:22" x14ac:dyDescent="0.45">
      <c r="A20" s="44">
        <v>45207</v>
      </c>
      <c r="B20" s="46" t="s">
        <v>26</v>
      </c>
      <c r="C20" s="22"/>
      <c r="D20" s="6">
        <v>0.30009999999999998</v>
      </c>
      <c r="E20" s="22">
        <f>G19*D20</f>
        <v>132605.46243961784</v>
      </c>
      <c r="F20" s="94">
        <v>0.66700000000000004</v>
      </c>
      <c r="G20" s="22">
        <f>E20*F20+G19</f>
        <v>530318.76127334265</v>
      </c>
      <c r="H20" s="42">
        <f>+I19*(D20*0.667)/2</f>
        <v>1346.4149381974566</v>
      </c>
      <c r="I20" s="22">
        <f>I19+H20</f>
        <v>14799.351297716365</v>
      </c>
      <c r="J20" s="23">
        <f>K19*(D20*0.667)/2</f>
        <v>3366.0373454936421</v>
      </c>
      <c r="K20" s="22">
        <f>K19+J20</f>
        <v>36998.378244290914</v>
      </c>
      <c r="L20" s="23"/>
      <c r="M20" s="23"/>
      <c r="N20" s="23"/>
      <c r="O20" s="23"/>
      <c r="V20" s="23">
        <f>G20-I20-K20</f>
        <v>478521.03173133533</v>
      </c>
    </row>
    <row r="21" spans="1:22" ht="14.65" thickBot="1" x14ac:dyDescent="0.5">
      <c r="A21" s="44">
        <v>45219</v>
      </c>
      <c r="B21" s="46" t="s">
        <v>27</v>
      </c>
      <c r="C21" s="22"/>
      <c r="D21" s="10">
        <v>0.27279999999999999</v>
      </c>
      <c r="E21" s="22">
        <f>+G20*D21</f>
        <v>144670.95807536787</v>
      </c>
      <c r="F21" s="94">
        <v>0.66700000000000004</v>
      </c>
      <c r="G21" s="22">
        <f>E21*F21+G20</f>
        <v>626814.29030961299</v>
      </c>
      <c r="H21" s="42">
        <f>I20*(D21*0.667)/2</f>
        <v>1346.4272218446777</v>
      </c>
      <c r="I21" s="22">
        <f>+I20+H21</f>
        <v>16145.778519561041</v>
      </c>
      <c r="J21" s="23">
        <f>K20*(D21*0.667)/2</f>
        <v>3366.0680546116942</v>
      </c>
      <c r="K21" s="22">
        <f>K20+J21</f>
        <v>40364.446298902607</v>
      </c>
      <c r="L21" s="23"/>
      <c r="M21" s="23"/>
      <c r="N21" s="23"/>
      <c r="O21" s="23"/>
      <c r="V21" s="23">
        <f>G21-I21-K21</f>
        <v>570304.06549114932</v>
      </c>
    </row>
    <row r="22" spans="1:22" ht="14.65" thickBot="1" x14ac:dyDescent="0.5">
      <c r="A22" s="44"/>
      <c r="B22" s="46" t="s">
        <v>49</v>
      </c>
      <c r="C22" s="22">
        <v>20000</v>
      </c>
      <c r="D22" s="6"/>
      <c r="E22" s="22"/>
      <c r="F22" s="94"/>
      <c r="G22" s="22">
        <f>G21+C22</f>
        <v>646814.29030961299</v>
      </c>
      <c r="H22" s="42"/>
      <c r="I22" s="22">
        <f>I21</f>
        <v>16145.778519561041</v>
      </c>
      <c r="J22" s="23"/>
      <c r="K22" s="22">
        <f>K21</f>
        <v>40364.446298902607</v>
      </c>
      <c r="L22" s="23"/>
      <c r="M22" s="23"/>
      <c r="N22" s="23"/>
      <c r="O22" s="23"/>
      <c r="P22" s="100">
        <v>0.14000000000000001</v>
      </c>
      <c r="Q22" s="76">
        <v>20000</v>
      </c>
      <c r="V22" s="23">
        <f>G22-I22-K22-Q22</f>
        <v>570304.06549114932</v>
      </c>
    </row>
    <row r="23" spans="1:22" ht="14.65" thickBot="1" x14ac:dyDescent="0.5">
      <c r="A23" s="44"/>
      <c r="B23" s="46" t="s">
        <v>50</v>
      </c>
      <c r="C23" s="22"/>
      <c r="D23" s="6"/>
      <c r="E23" s="22"/>
      <c r="F23" s="94"/>
      <c r="G23" s="22"/>
      <c r="H23" s="42"/>
      <c r="I23" s="22"/>
      <c r="J23" s="23"/>
      <c r="K23" s="22"/>
      <c r="L23" s="23"/>
      <c r="M23" s="22"/>
      <c r="N23" s="102">
        <v>0.2</v>
      </c>
      <c r="O23" s="76">
        <v>500000</v>
      </c>
      <c r="Q23" s="22"/>
      <c r="V23" s="23"/>
    </row>
    <row r="24" spans="1:22" ht="14.65" thickBot="1" x14ac:dyDescent="0.5">
      <c r="A24" s="44"/>
      <c r="B24" s="46" t="s">
        <v>51</v>
      </c>
      <c r="C24" s="22">
        <v>20000</v>
      </c>
      <c r="D24" s="6"/>
      <c r="E24" s="22"/>
      <c r="F24" s="94"/>
      <c r="G24" s="22">
        <f>G22+C24</f>
        <v>666814.29030961299</v>
      </c>
      <c r="H24" s="42"/>
      <c r="I24" s="22">
        <f>I22</f>
        <v>16145.778519561041</v>
      </c>
      <c r="J24" s="23"/>
      <c r="K24" s="22">
        <f>K22</f>
        <v>40364.446298902607</v>
      </c>
      <c r="L24" s="23"/>
      <c r="M24" s="23"/>
      <c r="N24" s="23"/>
      <c r="O24" s="23"/>
      <c r="Q24" s="22">
        <f>Q22</f>
        <v>20000</v>
      </c>
      <c r="R24" s="100">
        <v>0.14000000000000001</v>
      </c>
      <c r="S24" s="76">
        <v>20000</v>
      </c>
      <c r="T24" s="22"/>
      <c r="U24" s="22"/>
      <c r="V24" s="23">
        <f>G24-I24-K24-Q24-S24</f>
        <v>570304.06549114932</v>
      </c>
    </row>
    <row r="25" spans="1:22" ht="14.65" thickBot="1" x14ac:dyDescent="0.5">
      <c r="A25" s="44">
        <v>45225</v>
      </c>
      <c r="B25" s="47" t="s">
        <v>30</v>
      </c>
      <c r="C25" s="22"/>
      <c r="D25" s="6">
        <v>0.25879999999999997</v>
      </c>
      <c r="E25" s="22">
        <f>+G21*D25</f>
        <v>162219.53833212782</v>
      </c>
      <c r="F25" s="94">
        <v>0.81699999999999995</v>
      </c>
      <c r="G25" s="22">
        <f>E25*F25+G24</f>
        <v>799347.65312696144</v>
      </c>
      <c r="H25" s="42">
        <f>I21*(D25*0.667)/2</f>
        <v>1393.5389148676095</v>
      </c>
      <c r="I25" s="22">
        <f>I21+H25</f>
        <v>17539.317434428653</v>
      </c>
      <c r="J25" s="23">
        <f>K21*(D25*0.667)/2+2288.5</f>
        <v>5772.3472871690237</v>
      </c>
      <c r="K25" s="22">
        <f>K21+J25</f>
        <v>46136.793586071632</v>
      </c>
      <c r="L25" s="23">
        <f>O23*20%</f>
        <v>100000</v>
      </c>
      <c r="M25" s="23">
        <f>L25*0.334</f>
        <v>33400</v>
      </c>
      <c r="N25" s="23">
        <f>L25</f>
        <v>100000</v>
      </c>
      <c r="O25" s="23">
        <f>L25+O23</f>
        <v>600000</v>
      </c>
      <c r="V25" s="23">
        <f>G25-I25-K25</f>
        <v>735671.54210646125</v>
      </c>
    </row>
    <row r="26" spans="1:22" ht="14.65" thickBot="1" x14ac:dyDescent="0.5">
      <c r="A26" s="44"/>
      <c r="B26" s="46" t="s">
        <v>52</v>
      </c>
      <c r="C26" s="22">
        <v>5000</v>
      </c>
      <c r="D26" s="6"/>
      <c r="E26" s="22"/>
      <c r="F26" s="94"/>
      <c r="G26" s="22">
        <f>C26+G25</f>
        <v>804347.65312696144</v>
      </c>
      <c r="H26" s="42"/>
      <c r="I26" s="22"/>
      <c r="J26" s="23"/>
      <c r="K26" s="22"/>
      <c r="L26" s="23"/>
      <c r="M26" s="23"/>
      <c r="N26" s="23"/>
      <c r="O26" s="23"/>
      <c r="Q26" s="22">
        <f>Q24</f>
        <v>20000</v>
      </c>
      <c r="S26" s="22">
        <f>S24</f>
        <v>20000</v>
      </c>
      <c r="T26" s="100">
        <v>0.14000000000000001</v>
      </c>
      <c r="U26" s="76">
        <v>5000</v>
      </c>
      <c r="V26" s="23">
        <f>V25</f>
        <v>735671.54210646125</v>
      </c>
    </row>
    <row r="27" spans="1:22" s="1" customFormat="1" ht="19.5" customHeight="1" thickBot="1" x14ac:dyDescent="0.5">
      <c r="A27" s="106">
        <v>45229</v>
      </c>
      <c r="B27" s="47" t="s">
        <v>35</v>
      </c>
      <c r="C27" s="40"/>
      <c r="D27" s="18">
        <v>0.27510000000000001</v>
      </c>
      <c r="E27" s="40">
        <f>G26*D27</f>
        <v>221276.03937522709</v>
      </c>
      <c r="F27" s="107">
        <v>0.81699999999999995</v>
      </c>
      <c r="G27" s="108">
        <f>E27*F27+G26</f>
        <v>985130.17729652196</v>
      </c>
      <c r="H27" s="109">
        <f>+I25*(D27*0.667)/2</f>
        <v>1609.159586441476</v>
      </c>
      <c r="I27" s="108">
        <f>I25+H27</f>
        <v>19148.47702087013</v>
      </c>
      <c r="J27" s="110">
        <f>K25*(D27*0.667)/2</f>
        <v>4232.8593438286898</v>
      </c>
      <c r="K27" s="108">
        <f>K25+J27</f>
        <v>50369.652929900323</v>
      </c>
      <c r="L27" s="110">
        <f>O25*20%</f>
        <v>120000</v>
      </c>
      <c r="M27" s="110">
        <f>L27*0.334</f>
        <v>40080</v>
      </c>
      <c r="N27" s="110">
        <f>L27</f>
        <v>120000</v>
      </c>
      <c r="O27" s="108">
        <f>L27+O25</f>
        <v>720000</v>
      </c>
      <c r="P27" s="110">
        <f>Q26*P22*0.667</f>
        <v>1867.6000000000004</v>
      </c>
      <c r="Q27" s="108">
        <f>P27+Q26</f>
        <v>21867.599999999999</v>
      </c>
      <c r="R27" s="110">
        <f>S26*R24</f>
        <v>2800.0000000000005</v>
      </c>
      <c r="S27" s="108">
        <f>R27+S26</f>
        <v>22800</v>
      </c>
      <c r="T27" s="110">
        <f>U26*T26</f>
        <v>700.00000000000011</v>
      </c>
      <c r="U27" s="108">
        <f>T27+U26</f>
        <v>5700</v>
      </c>
      <c r="V27" s="91">
        <f>G27-I27-K27-Q27-S27-U27</f>
        <v>865244.44734575157</v>
      </c>
    </row>
    <row r="28" spans="1:22" x14ac:dyDescent="0.45">
      <c r="A28" s="43">
        <v>1</v>
      </c>
      <c r="B28" s="47" t="s">
        <v>53</v>
      </c>
      <c r="C28" s="22"/>
      <c r="D28" s="6">
        <v>0.27510000000000001</v>
      </c>
      <c r="E28" s="22">
        <f>G27*D28</f>
        <v>271009.31177427323</v>
      </c>
      <c r="F28" s="94">
        <v>0.81699999999999995</v>
      </c>
      <c r="G28" s="22">
        <f>E28*F28+G27</f>
        <v>1206544.7850161032</v>
      </c>
      <c r="H28" s="42">
        <f>I27*D28*0.667/2</f>
        <v>1756.793300485198</v>
      </c>
      <c r="I28" s="22">
        <f>+I27+H28</f>
        <v>20905.270321355329</v>
      </c>
      <c r="J28" s="23">
        <f>K27*D28*0.667/2</f>
        <v>4621.2066222586964</v>
      </c>
      <c r="K28" s="22">
        <f>K27+J28</f>
        <v>54990.859552159018</v>
      </c>
      <c r="L28" s="23">
        <f>O27*20%</f>
        <v>144000</v>
      </c>
      <c r="M28" s="23">
        <f>L28*0.334</f>
        <v>48096</v>
      </c>
      <c r="N28" s="23">
        <f>L28</f>
        <v>144000</v>
      </c>
      <c r="O28" s="23">
        <f>L28+O27</f>
        <v>864000</v>
      </c>
      <c r="P28" s="23">
        <f>Q27*P22*0.667</f>
        <v>2041.996488</v>
      </c>
      <c r="Q28" s="22">
        <f>P28+Q27</f>
        <v>23909.596487999999</v>
      </c>
      <c r="R28" s="23">
        <f>S27*R24</f>
        <v>3192.0000000000005</v>
      </c>
      <c r="S28" s="22">
        <f>R28+S27</f>
        <v>25992</v>
      </c>
      <c r="T28" s="23">
        <f>U27*T26</f>
        <v>798.00000000000011</v>
      </c>
      <c r="U28" s="22">
        <f>T28+U27</f>
        <v>6498</v>
      </c>
      <c r="V28" s="23">
        <f>G28-I28-K28-Q28-S28-U28</f>
        <v>1074249.0586545889</v>
      </c>
    </row>
    <row r="29" spans="1:22" x14ac:dyDescent="0.45">
      <c r="B29" s="96" t="s">
        <v>36</v>
      </c>
      <c r="C29" s="55"/>
      <c r="D29" s="6"/>
      <c r="E29" s="22"/>
      <c r="F29" s="94"/>
      <c r="G29" s="22">
        <f>G28+C29</f>
        <v>1206544.7850161032</v>
      </c>
      <c r="H29" s="42"/>
      <c r="I29" s="22"/>
      <c r="J29" s="23"/>
      <c r="K29" s="22"/>
      <c r="L29" s="23"/>
      <c r="M29" s="23"/>
      <c r="N29" s="23"/>
      <c r="O29" s="23"/>
      <c r="P29" s="23"/>
      <c r="Q29" s="22"/>
      <c r="R29" s="23"/>
      <c r="S29" s="22"/>
      <c r="T29" s="23"/>
      <c r="U29" s="22"/>
      <c r="V29" s="23"/>
    </row>
    <row r="30" spans="1:22" x14ac:dyDescent="0.45">
      <c r="A30" s="43">
        <v>2</v>
      </c>
      <c r="B30" s="47" t="s">
        <v>54</v>
      </c>
      <c r="C30" s="22"/>
      <c r="D30" s="6">
        <v>0.27</v>
      </c>
      <c r="E30" s="22">
        <f>G29*D30</f>
        <v>325767.09195434785</v>
      </c>
      <c r="F30" s="94">
        <v>0.81699999999999995</v>
      </c>
      <c r="G30" s="22">
        <f>E30*F30+G29</f>
        <v>1472696.4991428053</v>
      </c>
      <c r="H30" s="42">
        <f>I28*D30*0.667/2</f>
        <v>1882.4150660864407</v>
      </c>
      <c r="I30" s="22">
        <f>I28+H30</f>
        <v>22787.685387441768</v>
      </c>
      <c r="J30" s="23">
        <f>K28*D30*0.667/2</f>
        <v>4951.6519483741595</v>
      </c>
      <c r="K30" s="22">
        <f>K28+J30</f>
        <v>59942.511500533175</v>
      </c>
      <c r="L30" s="23">
        <f>O28*20%</f>
        <v>172800</v>
      </c>
      <c r="M30" s="23">
        <f>L30*0.334</f>
        <v>57715.200000000004</v>
      </c>
      <c r="N30" s="23">
        <f>L30</f>
        <v>172800</v>
      </c>
      <c r="O30" s="23">
        <f>L30+O28</f>
        <v>1036800</v>
      </c>
      <c r="P30" s="23">
        <f>Q28*P22*0.667</f>
        <v>2232.6781200494402</v>
      </c>
      <c r="Q30" s="22">
        <f>P30+Q28</f>
        <v>26142.27460804944</v>
      </c>
      <c r="R30" s="23">
        <f>S28*R24</f>
        <v>3638.8800000000006</v>
      </c>
      <c r="S30" s="22">
        <f>R30+S28</f>
        <v>29630.880000000001</v>
      </c>
      <c r="T30" s="23">
        <f>U28*T26</f>
        <v>909.72000000000014</v>
      </c>
      <c r="U30" s="22">
        <f>T30+U28</f>
        <v>7407.72</v>
      </c>
      <c r="V30" s="23">
        <f>G30-I30-K30-Q30-S30-U30</f>
        <v>1326785.4276467811</v>
      </c>
    </row>
    <row r="31" spans="1:22" x14ac:dyDescent="0.45">
      <c r="A31" s="43">
        <v>3</v>
      </c>
      <c r="B31" s="47" t="s">
        <v>55</v>
      </c>
      <c r="C31" s="22"/>
      <c r="D31" s="6">
        <v>0.27</v>
      </c>
      <c r="E31" s="22">
        <f>G30*D31</f>
        <v>397628.05476855749</v>
      </c>
      <c r="F31" s="94">
        <v>0.81699999999999995</v>
      </c>
      <c r="G31" s="22">
        <f t="shared" ref="G31" si="1">G30+E31</f>
        <v>1870324.5539113628</v>
      </c>
      <c r="H31" s="42">
        <f>I30*D31*0.667/2</f>
        <v>2051.9171307121942</v>
      </c>
      <c r="I31" s="22">
        <f>I30+H31</f>
        <v>24839.602518153963</v>
      </c>
      <c r="J31" s="23">
        <f>K30*D31*0.667/2</f>
        <v>5397.5234480655108</v>
      </c>
      <c r="K31" s="22">
        <f t="shared" ref="K31:K32" si="2">K30+J31</f>
        <v>65340.034948598688</v>
      </c>
      <c r="L31" s="23">
        <f>O30*20%</f>
        <v>207360</v>
      </c>
      <c r="M31" s="23">
        <f>L31*0.334</f>
        <v>69258.240000000005</v>
      </c>
      <c r="N31" s="23">
        <f>L31</f>
        <v>207360</v>
      </c>
      <c r="O31" s="23">
        <f>L31+O30</f>
        <v>1244160</v>
      </c>
      <c r="P31" s="23">
        <f>Q30*14%*0.667</f>
        <v>2441.1656028996572</v>
      </c>
      <c r="Q31" s="22">
        <f>P31+Q30</f>
        <v>28583.440210949098</v>
      </c>
      <c r="R31" s="23">
        <f>S30*R24</f>
        <v>4148.3232000000007</v>
      </c>
      <c r="S31" s="22">
        <f>R31+S30</f>
        <v>33779.203200000004</v>
      </c>
      <c r="T31" s="23">
        <f>U30*T26</f>
        <v>1037.0808000000002</v>
      </c>
      <c r="U31" s="22">
        <f>T31+U30</f>
        <v>8444.8008000000009</v>
      </c>
      <c r="V31" s="23">
        <f>G31-I31-K31-Q31-S31-U31</f>
        <v>1709337.4722336608</v>
      </c>
    </row>
    <row r="32" spans="1:22" x14ac:dyDescent="0.45">
      <c r="A32" s="43">
        <v>4</v>
      </c>
      <c r="B32" s="47" t="s">
        <v>56</v>
      </c>
      <c r="C32" s="22"/>
      <c r="D32" s="6">
        <v>0.27</v>
      </c>
      <c r="E32" s="22">
        <f>G31*D32*0.817</f>
        <v>412574.89334730752</v>
      </c>
      <c r="F32" s="94">
        <v>0.81699999999999995</v>
      </c>
      <c r="G32" s="22">
        <f>E32*F32+G31</f>
        <v>2207398.2417761129</v>
      </c>
      <c r="H32" s="42">
        <f>I31*D32*0.667/2</f>
        <v>2236.6820087471738</v>
      </c>
      <c r="I32" s="22">
        <f>I31+H32</f>
        <v>27076.284526901138</v>
      </c>
      <c r="J32" s="23">
        <f>K31*D32*0.667/2</f>
        <v>5883.543446946569</v>
      </c>
      <c r="K32" s="22">
        <f t="shared" si="2"/>
        <v>71223.57839554525</v>
      </c>
      <c r="L32" s="23">
        <f>O31*20%</f>
        <v>248832</v>
      </c>
      <c r="M32" s="23">
        <f>L32*0.334</f>
        <v>83109.888000000006</v>
      </c>
      <c r="N32" s="23">
        <f>L32</f>
        <v>248832</v>
      </c>
      <c r="O32" s="23">
        <f>L32+O31</f>
        <v>1492992</v>
      </c>
      <c r="P32" s="23">
        <f>Q31*P22*0.667</f>
        <v>2669.1216468984271</v>
      </c>
      <c r="Q32" s="22">
        <f>P32+Q31</f>
        <v>31252.561857847526</v>
      </c>
      <c r="R32" s="23">
        <f>S31*R24</f>
        <v>4729.0884480000013</v>
      </c>
      <c r="S32" s="22">
        <f>R32+S31</f>
        <v>38508.291648000006</v>
      </c>
      <c r="T32" s="23">
        <f>U31*T26</f>
        <v>1182.2721120000003</v>
      </c>
      <c r="U32" s="22">
        <f>T32+U31</f>
        <v>9627.0729120000015</v>
      </c>
      <c r="V32" s="23">
        <f>G32-I32-K32-Q32-S32-U32</f>
        <v>2029710.4524358192</v>
      </c>
    </row>
    <row r="33" spans="1:22" x14ac:dyDescent="0.45">
      <c r="A33" s="95" t="s">
        <v>78</v>
      </c>
      <c r="B33" s="47"/>
      <c r="C33" s="22"/>
      <c r="D33" s="6"/>
      <c r="E33" s="22"/>
      <c r="F33" s="94"/>
      <c r="G33" s="22"/>
      <c r="H33" s="42"/>
      <c r="I33" s="22"/>
      <c r="J33" s="23"/>
      <c r="K33" s="22"/>
      <c r="L33" s="23"/>
      <c r="M33" s="23"/>
      <c r="N33" s="23"/>
      <c r="O33" s="23"/>
      <c r="P33" s="23"/>
      <c r="Q33" s="22"/>
      <c r="R33" s="23"/>
      <c r="S33" s="22"/>
      <c r="T33" s="23"/>
      <c r="U33" s="22"/>
      <c r="V33" s="23"/>
    </row>
    <row r="34" spans="1:22" x14ac:dyDescent="0.45">
      <c r="A34" s="43">
        <v>1</v>
      </c>
      <c r="B34" s="47" t="s">
        <v>57</v>
      </c>
      <c r="C34" s="22"/>
      <c r="D34" s="6">
        <v>0.4</v>
      </c>
      <c r="E34" s="22">
        <f>G32*D34*0.817</f>
        <v>721377.74541243364</v>
      </c>
      <c r="F34" s="94">
        <v>0.66700000000000004</v>
      </c>
      <c r="G34" s="22">
        <f>G32+E34</f>
        <v>2928775.9871885465</v>
      </c>
      <c r="H34" s="42">
        <f>I32*D34*0.667/2</f>
        <v>3611.9763558886125</v>
      </c>
      <c r="I34" s="22">
        <f>I32+H34</f>
        <v>30688.260882789749</v>
      </c>
      <c r="J34" s="23">
        <f>K32*D34*0.667/2</f>
        <v>9501.2253579657372</v>
      </c>
      <c r="K34" s="22">
        <f>K32+J34</f>
        <v>80724.803753510991</v>
      </c>
      <c r="L34" s="23">
        <f>O32*D34</f>
        <v>597196.80000000005</v>
      </c>
      <c r="M34" s="23">
        <f>L34*0.334</f>
        <v>199463.73120000004</v>
      </c>
      <c r="N34" s="23">
        <f>L34-M34</f>
        <v>397733.06880000001</v>
      </c>
      <c r="O34" s="23">
        <f>L34+O32</f>
        <v>2090188.8</v>
      </c>
      <c r="P34" s="23">
        <f>Q32*P22</f>
        <v>4375.3586600986537</v>
      </c>
      <c r="Q34" s="22">
        <f>P34+Q32</f>
        <v>35627.920517946179</v>
      </c>
      <c r="R34" s="23">
        <f>S32*R24</f>
        <v>5391.1608307200013</v>
      </c>
      <c r="S34" s="22">
        <f>R34+S32</f>
        <v>43899.452478720006</v>
      </c>
      <c r="T34" s="23">
        <f>U32*T26</f>
        <v>1347.7902076800003</v>
      </c>
      <c r="U34" s="22">
        <f>T34+U32</f>
        <v>10974.863119680002</v>
      </c>
      <c r="V34" s="23">
        <f>G34-I34-K34-Q34-S34-U34</f>
        <v>2726860.6864358997</v>
      </c>
    </row>
    <row r="35" spans="1:22" x14ac:dyDescent="0.45">
      <c r="B35" s="46" t="s">
        <v>89</v>
      </c>
      <c r="C35" s="22"/>
      <c r="D35" s="6"/>
      <c r="E35" s="22"/>
      <c r="F35" s="94"/>
      <c r="G35" s="22">
        <f>C35+G34</f>
        <v>2928775.9871885465</v>
      </c>
      <c r="H35" s="42"/>
      <c r="I35" s="22"/>
      <c r="J35" s="23"/>
      <c r="K35" s="22"/>
      <c r="L35" s="23"/>
      <c r="M35" s="23"/>
      <c r="N35" s="23">
        <v>-500000</v>
      </c>
      <c r="O35" s="23">
        <f>O34+N35</f>
        <v>1590188.8</v>
      </c>
      <c r="R35" s="23"/>
      <c r="S35" s="22"/>
      <c r="T35" s="23"/>
      <c r="U35" s="22"/>
      <c r="V35" s="23"/>
    </row>
    <row r="36" spans="1:22" x14ac:dyDescent="0.45">
      <c r="A36" s="43">
        <v>2</v>
      </c>
      <c r="B36" s="47" t="s">
        <v>58</v>
      </c>
      <c r="C36" s="22"/>
      <c r="D36" s="6">
        <v>0.4</v>
      </c>
      <c r="E36" s="22">
        <f>G34*D36*0.667</f>
        <v>781397.43338190427</v>
      </c>
      <c r="F36" s="94">
        <v>0.66700000000000004</v>
      </c>
      <c r="G36" s="22">
        <f>G34+E36</f>
        <v>3710173.4205704508</v>
      </c>
      <c r="H36" s="42">
        <f>I34*D36*0.667/2</f>
        <v>4093.8140017641531</v>
      </c>
      <c r="I36" s="22">
        <f>I34+H36</f>
        <v>34782.074884553906</v>
      </c>
      <c r="J36" s="23">
        <f>K34*D36*0.667/2</f>
        <v>10768.688820718367</v>
      </c>
      <c r="K36" s="22">
        <f>K34+J36</f>
        <v>91493.492574229356</v>
      </c>
      <c r="L36" s="23">
        <f>O35*D36</f>
        <v>636075.52000000002</v>
      </c>
      <c r="M36" s="23">
        <f>L36*0.334</f>
        <v>212449.22368000002</v>
      </c>
      <c r="N36" s="23">
        <f>L36-M36</f>
        <v>423626.29631999996</v>
      </c>
      <c r="O36" s="23">
        <f>N36+O35</f>
        <v>2013815.09632</v>
      </c>
      <c r="P36" s="23">
        <f>Q34*P22</f>
        <v>4987.9088725124657</v>
      </c>
      <c r="Q36" s="22">
        <f>P36+Q34</f>
        <v>40615.829390458646</v>
      </c>
      <c r="R36" s="23">
        <f>S34*R24</f>
        <v>6145.9233470208019</v>
      </c>
      <c r="S36" s="22">
        <f>R36+S34</f>
        <v>50045.375825740804</v>
      </c>
      <c r="T36" s="23">
        <f>U34*T26</f>
        <v>1536.4808367552005</v>
      </c>
      <c r="U36" s="22">
        <f>T36+U34</f>
        <v>12511.343956435201</v>
      </c>
      <c r="V36" s="23">
        <f>G36-I36-K36-Q36-S36-U36</f>
        <v>3480725.3039390328</v>
      </c>
    </row>
    <row r="37" spans="1:22" x14ac:dyDescent="0.45">
      <c r="A37" s="43">
        <v>3</v>
      </c>
      <c r="B37" s="47" t="s">
        <v>58</v>
      </c>
      <c r="C37" s="22"/>
      <c r="D37" s="6">
        <v>0.4</v>
      </c>
      <c r="E37" s="22">
        <f>G36*D37</f>
        <v>1484069.3682281803</v>
      </c>
      <c r="F37" s="94">
        <v>0.66700000000000004</v>
      </c>
      <c r="G37" s="22">
        <f>E37*F37+G36</f>
        <v>4700047.6891786475</v>
      </c>
      <c r="H37" s="42">
        <f>I36*D37*0.667</f>
        <v>9279.8575791989824</v>
      </c>
      <c r="I37" s="22">
        <f>H37+I36</f>
        <v>44061.932463752892</v>
      </c>
      <c r="J37" s="23">
        <f>K36*D37*0.667</f>
        <v>24410.463818804397</v>
      </c>
      <c r="K37" s="22">
        <f>J37+K36</f>
        <v>115903.95639303376</v>
      </c>
      <c r="L37" s="23">
        <f>O36*D37</f>
        <v>805526.038528</v>
      </c>
      <c r="M37" s="23">
        <f>L37*0.334</f>
        <v>269045.69686835201</v>
      </c>
      <c r="N37" s="23">
        <f>L37-M37</f>
        <v>536480.34165964799</v>
      </c>
      <c r="O37" s="23">
        <f>N37+O36</f>
        <v>2550295.4379796479</v>
      </c>
      <c r="P37" s="23">
        <f>Q36*P22</f>
        <v>5686.2161146642111</v>
      </c>
      <c r="Q37" s="22">
        <f>P37+Q36</f>
        <v>46302.045505122856</v>
      </c>
      <c r="R37" s="23">
        <f>S36*R24</f>
        <v>7006.3526156037133</v>
      </c>
      <c r="S37" s="22">
        <f>R37+S36</f>
        <v>57051.728441344516</v>
      </c>
      <c r="T37" s="23">
        <f>U36*T26</f>
        <v>1751.5881539009283</v>
      </c>
      <c r="U37" s="22">
        <f>T37+U36</f>
        <v>14262.932110336129</v>
      </c>
      <c r="V37" s="23">
        <f>G37-I37-K37-Q37-S37-U37</f>
        <v>4422465.0942650568</v>
      </c>
    </row>
    <row r="38" spans="1:22" x14ac:dyDescent="0.45">
      <c r="A38" s="43">
        <v>4</v>
      </c>
      <c r="B38" s="47" t="s">
        <v>58</v>
      </c>
      <c r="D38" s="6">
        <v>0.4</v>
      </c>
      <c r="E38" s="22">
        <f>G37*D38</f>
        <v>1880019.0756714591</v>
      </c>
      <c r="F38" s="94">
        <v>0.66700000000000004</v>
      </c>
      <c r="G38" s="22">
        <f>E38*F38+G37</f>
        <v>5954020.4126515109</v>
      </c>
      <c r="H38" s="42">
        <f>I37*D38*0.667</f>
        <v>11755.723581329272</v>
      </c>
      <c r="I38" s="22">
        <f>H38+I37</f>
        <v>55817.656045082163</v>
      </c>
      <c r="J38" s="23">
        <f>K37*D38*0.667</f>
        <v>30923.175565661411</v>
      </c>
      <c r="K38" s="22">
        <f>J38+K37</f>
        <v>146827.13195869519</v>
      </c>
      <c r="L38" s="23">
        <f>O37*D38</f>
        <v>1020118.1751918592</v>
      </c>
      <c r="M38" s="23">
        <f>L38*0.334</f>
        <v>340719.47051408101</v>
      </c>
      <c r="N38" s="23">
        <f>L38-M38</f>
        <v>679398.7046777783</v>
      </c>
      <c r="O38" s="23">
        <f>N38+O37</f>
        <v>3229694.1426574262</v>
      </c>
      <c r="P38" s="23">
        <f>Q37*P22</f>
        <v>6482.286370717201</v>
      </c>
      <c r="Q38" s="22">
        <f>P38+Q37</f>
        <v>52784.331875840056</v>
      </c>
      <c r="R38" s="23">
        <f>S37*R24</f>
        <v>7987.2419817882328</v>
      </c>
      <c r="S38" s="22">
        <f>R38+S37</f>
        <v>65038.970423132749</v>
      </c>
      <c r="T38" s="23">
        <f>U37*T26</f>
        <v>1996.8104954470582</v>
      </c>
      <c r="U38" s="22">
        <f>T38+U37</f>
        <v>16259.742605783187</v>
      </c>
      <c r="V38" s="23">
        <f>G38-I38-K38-Q38-S38-U38</f>
        <v>5617292.5797429774</v>
      </c>
    </row>
    <row r="39" spans="1:22" ht="14.65" thickBot="1" x14ac:dyDescent="0.5">
      <c r="H39" s="42"/>
      <c r="I39" s="22"/>
      <c r="L39" s="23"/>
      <c r="M39" s="23"/>
      <c r="N39" s="23"/>
      <c r="O39" s="23"/>
      <c r="P39" s="23"/>
      <c r="Q39" s="22"/>
      <c r="R39" s="23"/>
      <c r="S39" s="22"/>
      <c r="T39" s="23"/>
      <c r="U39" s="22"/>
      <c r="V39" s="23"/>
    </row>
    <row r="40" spans="1:22" ht="14.65" thickBot="1" x14ac:dyDescent="0.5">
      <c r="B40" s="79" t="s">
        <v>94</v>
      </c>
      <c r="C40" s="76">
        <f>G27</f>
        <v>985130.17729652196</v>
      </c>
      <c r="D40" s="43"/>
      <c r="E40" s="5"/>
      <c r="F40" s="97"/>
      <c r="G40" s="113"/>
      <c r="H40" s="5"/>
      <c r="U40" s="79" t="s">
        <v>95</v>
      </c>
      <c r="V40" s="76">
        <f>V38</f>
        <v>5617292.5797429774</v>
      </c>
    </row>
    <row r="41" spans="1:22" ht="14.65" thickBot="1" x14ac:dyDescent="0.5">
      <c r="B41" s="79" t="s">
        <v>85</v>
      </c>
      <c r="C41" s="76">
        <f>C3+C6+C10+C11+C12+C13+C14+C17+C22+C24+C26</f>
        <v>422220</v>
      </c>
      <c r="D41" s="43"/>
      <c r="E41" s="5"/>
      <c r="F41" s="97"/>
      <c r="G41" s="113"/>
      <c r="H41" s="5"/>
      <c r="U41" s="79" t="s">
        <v>85</v>
      </c>
      <c r="V41" s="76">
        <f>C41</f>
        <v>422220</v>
      </c>
    </row>
    <row r="42" spans="1:22" ht="14.65" thickBot="1" x14ac:dyDescent="0.5">
      <c r="B42" s="79" t="s">
        <v>86</v>
      </c>
      <c r="C42" s="76">
        <f>C40-C41</f>
        <v>562910.17729652196</v>
      </c>
      <c r="D42" s="43"/>
      <c r="E42" s="5"/>
      <c r="F42" s="5"/>
      <c r="G42" s="5"/>
      <c r="H42" s="5"/>
      <c r="U42" s="79" t="s">
        <v>86</v>
      </c>
      <c r="V42" s="76">
        <f>V40-V41</f>
        <v>5195072.5797429774</v>
      </c>
    </row>
  </sheetData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A11A-1182-4CD2-A27B-D7BC8A76C51C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70A4-FA28-484C-A5F5-61E4CFA6C374}">
  <dimension ref="A1:AT32"/>
  <sheetViews>
    <sheetView tabSelected="1" topLeftCell="C1" zoomScale="95" zoomScaleNormal="95" workbookViewId="0">
      <pane ySplit="3" topLeftCell="A12" activePane="bottomLeft" state="frozen"/>
      <selection pane="bottomLeft" activeCell="E33" sqref="E33"/>
    </sheetView>
  </sheetViews>
  <sheetFormatPr defaultColWidth="8.59765625" defaultRowHeight="14.25" x14ac:dyDescent="0.45"/>
  <cols>
    <col min="1" max="1" width="14.59765625" style="67" customWidth="1"/>
    <col min="2" max="2" width="14.59765625" style="64" customWidth="1"/>
    <col min="3" max="3" width="14.59765625" style="5" customWidth="1"/>
    <col min="4" max="4" width="10.59765625" style="43" customWidth="1"/>
    <col min="5" max="5" width="12.59765625" style="5" customWidth="1"/>
    <col min="6" max="12" width="14.59765625" style="5" customWidth="1"/>
    <col min="13" max="15" width="14.59765625" style="3" customWidth="1"/>
    <col min="16" max="16384" width="8.59765625" style="3"/>
  </cols>
  <sheetData>
    <row r="1" spans="1:46" s="2" customFormat="1" ht="45" customHeight="1" thickBot="1" x14ac:dyDescent="0.5">
      <c r="A1" s="65" t="s">
        <v>0</v>
      </c>
      <c r="B1" s="62" t="s">
        <v>2</v>
      </c>
      <c r="C1" s="62" t="s">
        <v>6</v>
      </c>
      <c r="D1" s="65" t="s">
        <v>8</v>
      </c>
      <c r="E1" s="62" t="s">
        <v>40</v>
      </c>
      <c r="F1" s="62" t="s">
        <v>87</v>
      </c>
      <c r="G1" s="62" t="s">
        <v>92</v>
      </c>
      <c r="H1" s="62" t="s">
        <v>41</v>
      </c>
      <c r="I1" s="116" t="s">
        <v>42</v>
      </c>
      <c r="J1" s="62" t="s">
        <v>87</v>
      </c>
      <c r="K1" s="62" t="s">
        <v>92</v>
      </c>
      <c r="L1" s="62" t="s">
        <v>43</v>
      </c>
      <c r="M1" s="62" t="s">
        <v>82</v>
      </c>
      <c r="N1" s="62" t="s">
        <v>83</v>
      </c>
      <c r="O1" s="63" t="s">
        <v>93</v>
      </c>
    </row>
    <row r="2" spans="1:46" hidden="1" x14ac:dyDescent="0.45">
      <c r="A2" s="66">
        <v>45173</v>
      </c>
      <c r="B2" s="64" t="s">
        <v>20</v>
      </c>
      <c r="C2" s="23"/>
      <c r="D2" s="72"/>
    </row>
    <row r="3" spans="1:46" hidden="1" x14ac:dyDescent="0.45">
      <c r="A3" s="66">
        <v>45174</v>
      </c>
      <c r="B3" s="64" t="s">
        <v>21</v>
      </c>
      <c r="C3" s="23"/>
      <c r="D3" s="72"/>
    </row>
    <row r="4" spans="1:46" ht="14.65" thickBot="1" x14ac:dyDescent="0.5">
      <c r="A4" s="66">
        <v>45180</v>
      </c>
      <c r="B4" s="45" t="s">
        <v>61</v>
      </c>
      <c r="C4" s="22">
        <v>25000</v>
      </c>
      <c r="D4" s="72"/>
      <c r="F4" s="112">
        <v>0.66700000000000004</v>
      </c>
      <c r="G4" s="114" t="s">
        <v>91</v>
      </c>
      <c r="H4" s="76">
        <v>25000</v>
      </c>
      <c r="O4" s="23">
        <f>H4</f>
        <v>25000</v>
      </c>
    </row>
    <row r="5" spans="1:46" x14ac:dyDescent="0.45">
      <c r="A5" s="66">
        <v>45183</v>
      </c>
      <c r="B5" s="47" t="s">
        <v>22</v>
      </c>
      <c r="C5" s="23"/>
      <c r="D5" s="73">
        <v>0.26900000000000002</v>
      </c>
      <c r="E5" s="23">
        <f>H4*D5</f>
        <v>6725</v>
      </c>
      <c r="F5" s="97">
        <v>0.66700000000000004</v>
      </c>
      <c r="G5" s="113">
        <f>E5*F5/2</f>
        <v>2242.7874999999999</v>
      </c>
      <c r="H5" s="23">
        <f>G5+H4</f>
        <v>27242.787499999999</v>
      </c>
      <c r="I5" s="23"/>
      <c r="J5" s="23"/>
      <c r="K5" s="23"/>
      <c r="L5" s="23"/>
      <c r="O5" s="23">
        <f>H5</f>
        <v>27242.787499999999</v>
      </c>
    </row>
    <row r="6" spans="1:46" ht="18.75" customHeight="1" x14ac:dyDescent="0.45">
      <c r="A6" s="66">
        <v>45195</v>
      </c>
      <c r="B6" s="47" t="s">
        <v>23</v>
      </c>
      <c r="C6" s="23"/>
      <c r="D6" s="73">
        <v>0.35639999999999999</v>
      </c>
      <c r="E6" s="23">
        <f>H5*D6</f>
        <v>9709.3294649999989</v>
      </c>
      <c r="F6" s="97">
        <v>0.66700000000000004</v>
      </c>
      <c r="G6" s="113">
        <f>E6*F6/2</f>
        <v>3238.0613765774997</v>
      </c>
      <c r="H6" s="23">
        <f>G6+H5</f>
        <v>30480.848876577496</v>
      </c>
      <c r="I6" s="23"/>
      <c r="J6" s="23"/>
      <c r="K6" s="23"/>
      <c r="L6" s="23"/>
      <c r="O6" s="23">
        <f>H6</f>
        <v>30480.848876577496</v>
      </c>
    </row>
    <row r="7" spans="1:46" x14ac:dyDescent="0.45">
      <c r="A7" s="66">
        <v>45201</v>
      </c>
      <c r="B7" s="47" t="s">
        <v>24</v>
      </c>
      <c r="C7" s="23"/>
      <c r="D7" s="73">
        <v>0.19120000000000001</v>
      </c>
      <c r="E7" s="23">
        <f>H6*D7</f>
        <v>5827.9383052016174</v>
      </c>
      <c r="F7" s="97">
        <v>0.66700000000000004</v>
      </c>
      <c r="G7" s="113">
        <f>E7*F7/2</f>
        <v>1943.6174247847396</v>
      </c>
      <c r="H7" s="23">
        <f>G7+H6</f>
        <v>32424.466301362238</v>
      </c>
      <c r="I7" s="23"/>
      <c r="J7" s="23"/>
      <c r="K7" s="23"/>
      <c r="L7" s="23"/>
      <c r="O7" s="23">
        <f>H7</f>
        <v>32424.466301362238</v>
      </c>
    </row>
    <row r="8" spans="1:46" x14ac:dyDescent="0.45">
      <c r="A8" s="66">
        <v>45204</v>
      </c>
      <c r="B8" s="47" t="s">
        <v>25</v>
      </c>
      <c r="C8" s="23"/>
      <c r="D8" s="73">
        <v>0.11169999999999999</v>
      </c>
      <c r="E8" s="23">
        <f>H7*D8</f>
        <v>3621.8128858621617</v>
      </c>
      <c r="F8" s="97">
        <v>0.66700000000000004</v>
      </c>
      <c r="G8" s="113">
        <f>E8*F8/2</f>
        <v>1207.8745974350311</v>
      </c>
      <c r="H8" s="23">
        <f>G8+H7</f>
        <v>33632.340898797265</v>
      </c>
      <c r="I8" s="23"/>
      <c r="J8" s="23"/>
      <c r="K8" s="23"/>
      <c r="L8" s="23"/>
      <c r="O8" s="23">
        <f>H8</f>
        <v>33632.340898797265</v>
      </c>
    </row>
    <row r="9" spans="1:46" ht="15.75" customHeight="1" x14ac:dyDescent="0.45">
      <c r="A9" s="9">
        <v>45207</v>
      </c>
      <c r="B9" s="47" t="s">
        <v>26</v>
      </c>
      <c r="C9" s="23"/>
      <c r="D9" s="73">
        <v>0.30009999999999998</v>
      </c>
      <c r="E9" s="23">
        <f>H8*D9</f>
        <v>10093.065503729058</v>
      </c>
      <c r="F9" s="97">
        <v>0.66700000000000004</v>
      </c>
      <c r="G9" s="113">
        <f>E9*F9/2</f>
        <v>3366.0373454936412</v>
      </c>
      <c r="H9" s="23">
        <f>G9+H8</f>
        <v>36998.378244290907</v>
      </c>
      <c r="I9" s="23"/>
      <c r="J9" s="23"/>
      <c r="K9" s="23"/>
      <c r="L9" s="23"/>
      <c r="O9" s="23">
        <f>H9</f>
        <v>36998.378244290907</v>
      </c>
    </row>
    <row r="10" spans="1:46" s="41" customFormat="1" ht="15.75" customHeight="1" thickBot="1" x14ac:dyDescent="0.5">
      <c r="A10" s="9">
        <v>45219</v>
      </c>
      <c r="B10" s="47" t="s">
        <v>27</v>
      </c>
      <c r="C10" s="23"/>
      <c r="D10" s="73">
        <v>0.27279999999999999</v>
      </c>
      <c r="E10" s="23">
        <f>H9*D10</f>
        <v>10093.15758504256</v>
      </c>
      <c r="F10" s="97">
        <v>0.66700000000000004</v>
      </c>
      <c r="G10" s="113">
        <f>E10*F10/2</f>
        <v>3366.0680546116937</v>
      </c>
      <c r="H10" s="23">
        <f>G10+H9</f>
        <v>40364.4462989026</v>
      </c>
      <c r="I10" s="23"/>
      <c r="J10" s="23"/>
      <c r="K10" s="23"/>
      <c r="L10" s="23"/>
      <c r="M10" s="3"/>
      <c r="N10" s="3"/>
      <c r="O10" s="23">
        <f>H10</f>
        <v>40364.4462989026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75" customHeight="1" thickBot="1" x14ac:dyDescent="0.5">
      <c r="A11" s="9"/>
      <c r="B11" s="46" t="s">
        <v>61</v>
      </c>
      <c r="C11" s="76">
        <v>500000</v>
      </c>
      <c r="D11" s="73"/>
      <c r="E11" s="23"/>
      <c r="F11" s="97">
        <v>0.66700000000000004</v>
      </c>
      <c r="G11" s="113"/>
      <c r="H11" s="23">
        <f>H10</f>
        <v>40364.4462989026</v>
      </c>
      <c r="I11" s="100">
        <v>0.2</v>
      </c>
      <c r="J11" s="100">
        <v>0</v>
      </c>
      <c r="K11" s="99"/>
      <c r="L11" s="76">
        <f>C11</f>
        <v>500000</v>
      </c>
      <c r="O11" s="23">
        <f>H11+L11</f>
        <v>540364.44629890262</v>
      </c>
    </row>
    <row r="12" spans="1:46" ht="15.75" customHeight="1" thickBot="1" x14ac:dyDescent="0.5">
      <c r="A12" s="9">
        <v>45225</v>
      </c>
      <c r="B12" s="47" t="s">
        <v>30</v>
      </c>
      <c r="C12" s="23"/>
      <c r="D12" s="73">
        <v>0.25879999999999997</v>
      </c>
      <c r="E12" s="23">
        <f>H10*D12</f>
        <v>10446.318702155992</v>
      </c>
      <c r="F12" s="97">
        <v>0.66700000000000004</v>
      </c>
      <c r="G12" s="113">
        <f>E12*F12/2</f>
        <v>3483.8472871690233</v>
      </c>
      <c r="H12" s="23">
        <f>G12+H11</f>
        <v>43848.293586071624</v>
      </c>
      <c r="I12" s="77">
        <v>85353.41</v>
      </c>
      <c r="J12" s="98">
        <v>0</v>
      </c>
      <c r="K12" s="77">
        <f>I12</f>
        <v>85353.41</v>
      </c>
      <c r="L12" s="22">
        <f>L11+I12</f>
        <v>585353.41</v>
      </c>
      <c r="O12" s="23">
        <f>H12+L12</f>
        <v>629201.70358607161</v>
      </c>
    </row>
    <row r="13" spans="1:46" ht="15.75" customHeight="1" thickBot="1" x14ac:dyDescent="0.5">
      <c r="A13" s="9"/>
      <c r="B13" s="47" t="s">
        <v>31</v>
      </c>
      <c r="C13" s="23"/>
      <c r="D13" s="115">
        <v>0.17</v>
      </c>
      <c r="E13" s="77">
        <f>H10*17%</f>
        <v>6861.9558708134427</v>
      </c>
      <c r="F13" s="97">
        <v>0.66700000000000004</v>
      </c>
      <c r="G13" s="113">
        <f>E13*F13/2</f>
        <v>2288.4622829162831</v>
      </c>
      <c r="H13" s="22">
        <f>G13+H12</f>
        <v>46136.755868987908</v>
      </c>
      <c r="I13" s="77">
        <f>L11*20%</f>
        <v>100000</v>
      </c>
      <c r="J13" s="98"/>
      <c r="K13" s="77">
        <f>I13</f>
        <v>100000</v>
      </c>
      <c r="L13" s="22">
        <f>L11+I13</f>
        <v>600000</v>
      </c>
      <c r="O13" s="23">
        <f>H13+L13</f>
        <v>646136.75586898788</v>
      </c>
    </row>
    <row r="14" spans="1:46" ht="15.75" customHeight="1" x14ac:dyDescent="0.45">
      <c r="A14" s="9"/>
      <c r="B14" s="47" t="s">
        <v>32</v>
      </c>
      <c r="C14" s="23"/>
      <c r="D14" s="73"/>
      <c r="E14" s="53">
        <f>E13-E12</f>
        <v>-3584.3628313425488</v>
      </c>
      <c r="F14" s="97"/>
      <c r="G14" s="113"/>
      <c r="H14" s="23"/>
      <c r="I14" s="53">
        <f>I13-I12</f>
        <v>14646.589999999997</v>
      </c>
      <c r="J14" s="98"/>
      <c r="K14" s="53"/>
      <c r="L14" s="22"/>
      <c r="O14" s="23"/>
    </row>
    <row r="15" spans="1:46" ht="15.75" customHeight="1" x14ac:dyDescent="0.45">
      <c r="A15" s="9">
        <v>45225</v>
      </c>
      <c r="B15" s="46" t="s">
        <v>33</v>
      </c>
      <c r="C15" s="23"/>
      <c r="D15" s="73"/>
      <c r="E15" s="23"/>
      <c r="F15" s="97"/>
      <c r="G15" s="113"/>
      <c r="H15" s="23">
        <f>H13</f>
        <v>46136.755868987908</v>
      </c>
      <c r="I15" s="23"/>
      <c r="J15" s="98"/>
      <c r="K15" s="23"/>
      <c r="L15" s="22">
        <f>L13</f>
        <v>600000</v>
      </c>
      <c r="O15" s="23"/>
    </row>
    <row r="16" spans="1:46" ht="15.75" customHeight="1" x14ac:dyDescent="0.45">
      <c r="A16" s="9">
        <v>45226</v>
      </c>
      <c r="B16" s="47" t="s">
        <v>35</v>
      </c>
      <c r="C16" s="23"/>
      <c r="D16" s="73">
        <v>0.27510000000000001</v>
      </c>
      <c r="E16" s="23">
        <f>H12*D16</f>
        <v>12062.665565528305</v>
      </c>
      <c r="F16" s="97">
        <v>0.66700000000000004</v>
      </c>
      <c r="G16" s="113">
        <v>4233</v>
      </c>
      <c r="H16" s="23">
        <f>G16+H15</f>
        <v>50369.755868987908</v>
      </c>
      <c r="I16" s="22">
        <f>L15*20%</f>
        <v>120000</v>
      </c>
      <c r="J16" s="98"/>
      <c r="K16" s="22">
        <f>I16</f>
        <v>120000</v>
      </c>
      <c r="L16" s="22">
        <f>L15+I16</f>
        <v>720000</v>
      </c>
      <c r="O16" s="23">
        <f>H16+L16</f>
        <v>770369.75586898788</v>
      </c>
    </row>
    <row r="17" spans="1:15" ht="15.75" customHeight="1" thickBot="1" x14ac:dyDescent="0.5">
      <c r="A17" s="70" t="s">
        <v>79</v>
      </c>
      <c r="B17" s="47"/>
      <c r="C17" s="23"/>
      <c r="D17" s="73"/>
      <c r="E17" s="23"/>
      <c r="F17" s="97"/>
      <c r="G17" s="113"/>
      <c r="H17" s="23"/>
      <c r="I17" s="22"/>
      <c r="J17" s="98"/>
      <c r="K17" s="22"/>
      <c r="L17" s="22"/>
      <c r="O17" s="23"/>
    </row>
    <row r="18" spans="1:15" s="1" customFormat="1" ht="15.75" customHeight="1" thickBot="1" x14ac:dyDescent="0.5">
      <c r="A18" s="19">
        <v>45229</v>
      </c>
      <c r="B18" s="47" t="s">
        <v>53</v>
      </c>
      <c r="C18" s="23"/>
      <c r="D18" s="54">
        <v>0.27510000000000001</v>
      </c>
      <c r="E18" s="23">
        <f>H16*D18</f>
        <v>13856.719839558575</v>
      </c>
      <c r="F18" s="97">
        <v>0.66700000000000004</v>
      </c>
      <c r="G18" s="113">
        <f>E18*F18</f>
        <v>9242.4321329855702</v>
      </c>
      <c r="H18" s="60">
        <f>G18+H16</f>
        <v>59612.188001973482</v>
      </c>
      <c r="I18" s="23">
        <f>L16*20%</f>
        <v>144000</v>
      </c>
      <c r="J18" s="98"/>
      <c r="K18" s="23">
        <f>I18</f>
        <v>144000</v>
      </c>
      <c r="L18" s="60">
        <f>L16+I18</f>
        <v>864000</v>
      </c>
      <c r="O18" s="76">
        <f>H18+L18</f>
        <v>923612.18800197344</v>
      </c>
    </row>
    <row r="19" spans="1:15" s="1" customFormat="1" ht="15.75" customHeight="1" thickBot="1" x14ac:dyDescent="0.5">
      <c r="A19" s="19"/>
      <c r="B19" s="46" t="s">
        <v>61</v>
      </c>
      <c r="C19" s="76">
        <v>500000</v>
      </c>
      <c r="D19" s="54"/>
      <c r="E19" s="23"/>
      <c r="F19" s="122">
        <v>0</v>
      </c>
      <c r="G19" s="102">
        <v>0.2</v>
      </c>
      <c r="H19" s="75">
        <f>H18</f>
        <v>59612.188001973482</v>
      </c>
      <c r="I19" s="102">
        <v>0.2</v>
      </c>
      <c r="J19" s="120">
        <v>0</v>
      </c>
      <c r="K19" s="23"/>
      <c r="L19" s="23">
        <f>L18</f>
        <v>864000</v>
      </c>
      <c r="M19" s="121">
        <v>0.2</v>
      </c>
      <c r="N19" s="60">
        <v>500000</v>
      </c>
      <c r="O19" s="23">
        <f>H19+L19+N19</f>
        <v>1423612.1880019736</v>
      </c>
    </row>
    <row r="20" spans="1:15" s="1" customFormat="1" ht="15.75" customHeight="1" x14ac:dyDescent="0.45">
      <c r="A20" s="68"/>
      <c r="B20" s="47" t="s">
        <v>70</v>
      </c>
      <c r="C20" s="23"/>
      <c r="D20" s="54">
        <v>0.27</v>
      </c>
      <c r="E20" s="23">
        <f>H19*G19</f>
        <v>11922.437600394696</v>
      </c>
      <c r="F20" s="97"/>
      <c r="G20" s="113"/>
      <c r="H20" s="23">
        <f>H18+E20</f>
        <v>71534.625602368178</v>
      </c>
      <c r="I20" s="23">
        <f>L18*J19</f>
        <v>0</v>
      </c>
      <c r="K20" s="23">
        <f>I20</f>
        <v>0</v>
      </c>
      <c r="L20" s="23">
        <f>L18+I20</f>
        <v>864000</v>
      </c>
      <c r="M20" s="58">
        <f>N19*M19</f>
        <v>100000</v>
      </c>
      <c r="N20" s="58">
        <f>M20+N19</f>
        <v>600000</v>
      </c>
      <c r="O20" s="23">
        <f>H20+L20+N20</f>
        <v>1535534.6256023683</v>
      </c>
    </row>
    <row r="21" spans="1:15" x14ac:dyDescent="0.45">
      <c r="A21" s="66">
        <v>45233</v>
      </c>
      <c r="B21" s="47" t="s">
        <v>71</v>
      </c>
      <c r="D21" s="54">
        <v>0.27</v>
      </c>
      <c r="E21" s="23">
        <f>H20*G19</f>
        <v>14306.925120473636</v>
      </c>
      <c r="F21" s="97"/>
      <c r="G21" s="113"/>
      <c r="H21" s="23">
        <f>H20+E21</f>
        <v>85841.550722841814</v>
      </c>
      <c r="I21" s="23">
        <f>L20*20%</f>
        <v>172800</v>
      </c>
      <c r="J21" s="98"/>
      <c r="K21" s="23">
        <f>I21</f>
        <v>172800</v>
      </c>
      <c r="L21" s="22">
        <f>L20+I21</f>
        <v>1036800</v>
      </c>
      <c r="M21" s="61">
        <f>N20*M19</f>
        <v>120000</v>
      </c>
      <c r="N21" s="61">
        <f>N19+M21</f>
        <v>620000</v>
      </c>
      <c r="O21" s="23">
        <f>H21+L21+N21</f>
        <v>1742641.5507228419</v>
      </c>
    </row>
    <row r="22" spans="1:15" ht="14.65" thickBot="1" x14ac:dyDescent="0.5">
      <c r="B22" s="47" t="s">
        <v>72</v>
      </c>
      <c r="D22" s="54">
        <v>0.27</v>
      </c>
      <c r="E22" s="23">
        <f>H21*G19</f>
        <v>17168.310144568364</v>
      </c>
      <c r="F22" s="97"/>
      <c r="G22" s="113"/>
      <c r="H22" s="23">
        <f>H21+E22</f>
        <v>103009.86086741017</v>
      </c>
      <c r="I22" s="23">
        <f>L21*20%</f>
        <v>207360</v>
      </c>
      <c r="J22" s="98"/>
      <c r="K22" s="23">
        <f>I22</f>
        <v>207360</v>
      </c>
      <c r="L22" s="22">
        <f>L21+I22</f>
        <v>1244160</v>
      </c>
      <c r="M22" s="61">
        <f>N21*M19</f>
        <v>124000</v>
      </c>
      <c r="N22" s="61">
        <f>N21+M22</f>
        <v>744000</v>
      </c>
      <c r="O22" s="23">
        <f>H22+L22+N22</f>
        <v>2091169.8608674102</v>
      </c>
    </row>
    <row r="23" spans="1:15" ht="14.65" thickBot="1" x14ac:dyDescent="0.5">
      <c r="B23" s="47" t="s">
        <v>73</v>
      </c>
      <c r="D23" s="54">
        <v>0.27</v>
      </c>
      <c r="E23" s="23">
        <f>H22*G19</f>
        <v>20601.972173482034</v>
      </c>
      <c r="F23" s="97"/>
      <c r="G23" s="113"/>
      <c r="H23" s="117">
        <f>H22+E23</f>
        <v>123611.8330408922</v>
      </c>
      <c r="I23" s="23">
        <f>L22*20%</f>
        <v>248832</v>
      </c>
      <c r="J23" s="98"/>
      <c r="K23" s="23">
        <f>I23</f>
        <v>248832</v>
      </c>
      <c r="L23" s="119">
        <f>L22+I23</f>
        <v>1492992</v>
      </c>
      <c r="M23" s="61">
        <f>N22*M19</f>
        <v>148800</v>
      </c>
      <c r="N23" s="61">
        <f>N22+M23</f>
        <v>892800</v>
      </c>
      <c r="O23" s="75">
        <f>H23+L23+N23</f>
        <v>2509403.8330408921</v>
      </c>
    </row>
    <row r="24" spans="1:15" ht="14.65" thickBot="1" x14ac:dyDescent="0.5">
      <c r="A24" s="69" t="s">
        <v>80</v>
      </c>
      <c r="B24" s="47"/>
      <c r="D24" s="54"/>
      <c r="E24" s="23"/>
      <c r="F24" s="122">
        <v>0</v>
      </c>
      <c r="G24" s="102">
        <v>0.3</v>
      </c>
      <c r="H24" s="23"/>
      <c r="I24" s="122">
        <v>0.25</v>
      </c>
      <c r="J24" s="102">
        <v>0</v>
      </c>
      <c r="K24" s="23"/>
      <c r="L24" s="23"/>
      <c r="M24" s="121">
        <v>0.25</v>
      </c>
      <c r="O24" s="23"/>
    </row>
    <row r="25" spans="1:15" ht="14.65" thickBot="1" x14ac:dyDescent="0.5">
      <c r="B25" s="47" t="s">
        <v>81</v>
      </c>
      <c r="D25" s="54">
        <v>0.4</v>
      </c>
      <c r="E25" s="23">
        <f>H23*G24</f>
        <v>37083.549912267663</v>
      </c>
      <c r="H25" s="23">
        <f>H23+E25</f>
        <v>160695.38295315986</v>
      </c>
      <c r="I25" s="23">
        <f>L22*20%</f>
        <v>248832</v>
      </c>
      <c r="J25" s="98"/>
      <c r="K25" s="23"/>
      <c r="L25" s="23">
        <f>L22+I25</f>
        <v>1492992</v>
      </c>
      <c r="M25" s="61">
        <f>N23*M19</f>
        <v>178560</v>
      </c>
      <c r="N25" s="61">
        <f>N23+M25</f>
        <v>1071360</v>
      </c>
      <c r="O25" s="23">
        <f>H25+L25+N25</f>
        <v>2725047.38295316</v>
      </c>
    </row>
    <row r="26" spans="1:15" ht="14.65" thickBot="1" x14ac:dyDescent="0.5">
      <c r="B26" s="47" t="s">
        <v>84</v>
      </c>
      <c r="C26" s="118">
        <v>-500000</v>
      </c>
      <c r="D26" s="54"/>
      <c r="E26" s="23"/>
      <c r="F26" s="97"/>
      <c r="G26" s="113"/>
      <c r="H26" s="23"/>
      <c r="I26" s="23"/>
      <c r="J26" s="98"/>
      <c r="K26" s="23"/>
      <c r="L26" s="105">
        <f>L25+C26</f>
        <v>992992</v>
      </c>
      <c r="N26" s="61">
        <f>N25</f>
        <v>1071360</v>
      </c>
      <c r="O26" s="23">
        <f>L26+N26+C26</f>
        <v>1564352</v>
      </c>
    </row>
    <row r="27" spans="1:15" x14ac:dyDescent="0.45">
      <c r="B27" s="47" t="s">
        <v>74</v>
      </c>
      <c r="D27" s="54">
        <v>0.4</v>
      </c>
      <c r="E27" s="23">
        <f>H25*G24</f>
        <v>48208.614885947958</v>
      </c>
      <c r="F27" s="97"/>
      <c r="G27" s="113"/>
      <c r="H27" s="23">
        <f>H25+E27</f>
        <v>208903.99783910782</v>
      </c>
      <c r="I27" s="23">
        <f>L26*20%</f>
        <v>198598.40000000002</v>
      </c>
      <c r="J27" s="98"/>
      <c r="K27" s="23"/>
      <c r="L27" s="23">
        <f>L25+I27</f>
        <v>1691590.4</v>
      </c>
      <c r="M27" s="61">
        <f>N25*40%</f>
        <v>428544</v>
      </c>
      <c r="N27" s="61">
        <f>N25+M27</f>
        <v>1499904</v>
      </c>
      <c r="O27" s="23">
        <f>H27+L27+N27</f>
        <v>3400398.3978391076</v>
      </c>
    </row>
    <row r="28" spans="1:15" ht="14.65" thickBot="1" x14ac:dyDescent="0.5">
      <c r="B28" s="47" t="s">
        <v>75</v>
      </c>
      <c r="D28" s="54">
        <v>0.4</v>
      </c>
      <c r="E28" s="23">
        <f>H27*G24</f>
        <v>62671.199351732343</v>
      </c>
      <c r="F28" s="97"/>
      <c r="G28" s="113"/>
      <c r="H28" s="23">
        <f>+H27+E28</f>
        <v>271575.19719084015</v>
      </c>
      <c r="I28" s="23">
        <f>L27*20%</f>
        <v>338318.08000000002</v>
      </c>
      <c r="J28" s="98"/>
      <c r="K28" s="23"/>
      <c r="L28" s="23">
        <f>L27+I28</f>
        <v>2029908.48</v>
      </c>
      <c r="M28" s="61">
        <f>N27*40%</f>
        <v>599961.59999999998</v>
      </c>
      <c r="N28" s="61">
        <f>N27+M28</f>
        <v>2099865.6000000001</v>
      </c>
      <c r="O28" s="23">
        <f>H28+L28+N28</f>
        <v>4401349.2771908399</v>
      </c>
    </row>
    <row r="29" spans="1:15" ht="14.65" thickBot="1" x14ac:dyDescent="0.5">
      <c r="B29" s="47" t="s">
        <v>76</v>
      </c>
      <c r="C29" s="23"/>
      <c r="D29" s="54">
        <v>0.4</v>
      </c>
      <c r="E29" s="23">
        <f>H28*G24</f>
        <v>81472.559157252035</v>
      </c>
      <c r="F29" s="97"/>
      <c r="G29" s="113"/>
      <c r="H29" s="104">
        <f>H28+E29</f>
        <v>353047.75634809217</v>
      </c>
      <c r="I29" s="23">
        <f>L28*20%</f>
        <v>405981.696</v>
      </c>
      <c r="J29" s="98"/>
      <c r="K29" s="23"/>
      <c r="L29" s="105">
        <f>L28+I29</f>
        <v>2435890.176</v>
      </c>
      <c r="M29" s="61">
        <f>N28*40%</f>
        <v>839946.24000000011</v>
      </c>
      <c r="N29" s="61">
        <f>N28+M29</f>
        <v>2939811.8400000003</v>
      </c>
      <c r="O29" s="75">
        <f>H29+L29+N29</f>
        <v>5728749.7723480929</v>
      </c>
    </row>
    <row r="30" spans="1:15" ht="14.65" thickBot="1" x14ac:dyDescent="0.5">
      <c r="B30" s="79" t="s">
        <v>94</v>
      </c>
      <c r="C30" s="76">
        <f>O18</f>
        <v>923612.18800197344</v>
      </c>
      <c r="F30" s="97"/>
      <c r="G30" s="113"/>
      <c r="I30" s="79" t="s">
        <v>95</v>
      </c>
      <c r="J30" s="76">
        <f>O29</f>
        <v>5728749.7723480929</v>
      </c>
      <c r="O30" s="23"/>
    </row>
    <row r="31" spans="1:15" ht="14.65" thickBot="1" x14ac:dyDescent="0.5">
      <c r="B31" s="79" t="s">
        <v>85</v>
      </c>
      <c r="C31" s="76">
        <f>C4+C11</f>
        <v>525000</v>
      </c>
      <c r="F31" s="97"/>
      <c r="G31" s="113"/>
      <c r="I31" s="79" t="s">
        <v>85</v>
      </c>
      <c r="J31" s="76">
        <f>C4+N19</f>
        <v>525000</v>
      </c>
      <c r="O31" s="23"/>
    </row>
    <row r="32" spans="1:15" ht="14.65" thickBot="1" x14ac:dyDescent="0.5">
      <c r="B32" s="79" t="s">
        <v>86</v>
      </c>
      <c r="C32" s="76">
        <f>C30-C31</f>
        <v>398612.18800197344</v>
      </c>
      <c r="I32" s="79" t="s">
        <v>86</v>
      </c>
      <c r="J32" s="76">
        <f>J30-J31</f>
        <v>5203749.7723480929</v>
      </c>
      <c r="O32" s="2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B526-459F-4EC9-BCC0-F673A5818EC7}">
  <dimension ref="A1:G22"/>
  <sheetViews>
    <sheetView workbookViewId="0">
      <selection activeCell="F20" sqref="F20"/>
    </sheetView>
  </sheetViews>
  <sheetFormatPr defaultColWidth="8.59765625" defaultRowHeight="14.25" x14ac:dyDescent="0.45"/>
  <cols>
    <col min="1" max="1" width="14.59765625" style="4" customWidth="1"/>
    <col min="2" max="2" width="11.73046875" style="64" customWidth="1"/>
    <col min="3" max="3" width="10.73046875" style="5" customWidth="1"/>
    <col min="4" max="5" width="8.265625" style="17" customWidth="1"/>
    <col min="6" max="6" width="9.73046875" style="5" customWidth="1"/>
    <col min="7" max="7" width="10.73046875" style="8" customWidth="1"/>
    <col min="8" max="8" width="14.73046875" style="3" customWidth="1"/>
    <col min="9" max="9" width="20.73046875" style="3" customWidth="1"/>
    <col min="10" max="16384" width="8.59765625" style="3"/>
  </cols>
  <sheetData>
    <row r="1" spans="1:7" s="2" customFormat="1" ht="45" customHeight="1" thickBot="1" x14ac:dyDescent="0.5">
      <c r="A1" s="63" t="s">
        <v>0</v>
      </c>
      <c r="B1" s="63" t="s">
        <v>2</v>
      </c>
      <c r="C1" s="63" t="s">
        <v>6</v>
      </c>
      <c r="D1" s="82" t="s">
        <v>8</v>
      </c>
      <c r="E1" s="82" t="s">
        <v>87</v>
      </c>
      <c r="F1" s="63" t="s">
        <v>10</v>
      </c>
      <c r="G1" s="63" t="s">
        <v>11</v>
      </c>
    </row>
    <row r="2" spans="1:7" ht="15.75" customHeight="1" thickBot="1" x14ac:dyDescent="0.5">
      <c r="A2" s="9"/>
      <c r="B2" s="46" t="s">
        <v>28</v>
      </c>
      <c r="C2" s="23">
        <v>20000</v>
      </c>
      <c r="D2" s="85">
        <v>0.14000000000000001</v>
      </c>
      <c r="E2" s="85">
        <v>0</v>
      </c>
      <c r="F2" s="23"/>
      <c r="G2" s="22">
        <v>20000</v>
      </c>
    </row>
    <row r="3" spans="1:7" ht="15.75" customHeight="1" x14ac:dyDescent="0.45">
      <c r="A3" s="9">
        <v>45225</v>
      </c>
      <c r="B3" s="47" t="s">
        <v>30</v>
      </c>
      <c r="C3" s="23"/>
      <c r="D3" s="83">
        <v>3.1199999999999999E-2</v>
      </c>
      <c r="E3" s="83"/>
      <c r="F3" s="23">
        <f>G2*D3*0.667</f>
        <v>416.20800000000003</v>
      </c>
      <c r="G3" s="22">
        <f>G2+F3</f>
        <v>20416.207999999999</v>
      </c>
    </row>
    <row r="4" spans="1:7" ht="15.75" customHeight="1" x14ac:dyDescent="0.45">
      <c r="A4" s="9"/>
      <c r="B4" s="47" t="s">
        <v>31</v>
      </c>
      <c r="C4" s="23"/>
      <c r="D4" s="83"/>
      <c r="E4" s="83"/>
      <c r="F4" s="23">
        <f>G2*14%</f>
        <v>2800.0000000000005</v>
      </c>
      <c r="G4" s="22">
        <f>G2+F4</f>
        <v>22800</v>
      </c>
    </row>
    <row r="5" spans="1:7" ht="15.75" customHeight="1" x14ac:dyDescent="0.45">
      <c r="A5" s="9"/>
      <c r="B5" s="47" t="s">
        <v>32</v>
      </c>
      <c r="C5" s="23"/>
      <c r="D5" s="83"/>
      <c r="E5" s="83"/>
      <c r="F5" s="53">
        <f>F4-F3</f>
        <v>2383.7920000000004</v>
      </c>
      <c r="G5" s="22"/>
    </row>
    <row r="6" spans="1:7" ht="15.75" customHeight="1" x14ac:dyDescent="0.45">
      <c r="A6" s="9">
        <v>45225</v>
      </c>
      <c r="B6" s="46" t="s">
        <v>4</v>
      </c>
      <c r="C6" s="23"/>
      <c r="D6" s="83"/>
      <c r="E6" s="83"/>
      <c r="F6" s="23"/>
      <c r="G6" s="22">
        <f>G4</f>
        <v>22800</v>
      </c>
    </row>
    <row r="7" spans="1:7" ht="15.75" customHeight="1" thickBot="1" x14ac:dyDescent="0.5">
      <c r="A7" s="9">
        <v>45226</v>
      </c>
      <c r="B7" s="47" t="s">
        <v>35</v>
      </c>
      <c r="C7" s="23"/>
      <c r="D7" s="83"/>
      <c r="E7" s="83"/>
      <c r="F7" s="23"/>
      <c r="G7" s="22">
        <f>G6</f>
        <v>22800</v>
      </c>
    </row>
    <row r="8" spans="1:7" ht="15.75" customHeight="1" thickBot="1" x14ac:dyDescent="0.5">
      <c r="A8" s="71" t="s">
        <v>77</v>
      </c>
      <c r="B8" s="47"/>
      <c r="C8" s="23"/>
      <c r="D8" s="85">
        <v>0.14000000000000001</v>
      </c>
      <c r="E8" s="84"/>
      <c r="F8" s="23"/>
      <c r="G8" s="22"/>
    </row>
    <row r="9" spans="1:7" s="1" customFormat="1" ht="15.75" customHeight="1" thickBot="1" x14ac:dyDescent="0.5">
      <c r="A9" s="19">
        <v>45229</v>
      </c>
      <c r="B9" s="47" t="s">
        <v>64</v>
      </c>
      <c r="C9" s="23"/>
      <c r="D9" s="84"/>
      <c r="E9" s="84"/>
      <c r="F9" s="23">
        <f>G7*D8</f>
        <v>3192.0000000000005</v>
      </c>
      <c r="G9" s="76">
        <f>G7+F9</f>
        <v>25992</v>
      </c>
    </row>
    <row r="10" spans="1:7" s="1" customFormat="1" ht="15.75" customHeight="1" x14ac:dyDescent="0.45">
      <c r="A10" s="19"/>
      <c r="B10" s="47" t="s">
        <v>65</v>
      </c>
      <c r="C10" s="23"/>
      <c r="D10" s="84"/>
      <c r="E10" s="84"/>
      <c r="F10" s="23">
        <f>G9*D8</f>
        <v>3638.8800000000006</v>
      </c>
      <c r="G10" s="22">
        <f>G9+F10</f>
        <v>29630.880000000001</v>
      </c>
    </row>
    <row r="11" spans="1:7" ht="14.65" thickBot="1" x14ac:dyDescent="0.5">
      <c r="A11" s="9"/>
      <c r="B11" s="47" t="s">
        <v>66</v>
      </c>
      <c r="D11" s="84"/>
      <c r="E11" s="84"/>
      <c r="F11" s="23">
        <f>G10*D8</f>
        <v>4148.3232000000007</v>
      </c>
      <c r="G11" s="22">
        <f>G10+F11</f>
        <v>33779.203200000004</v>
      </c>
    </row>
    <row r="12" spans="1:7" ht="14.65" thickBot="1" x14ac:dyDescent="0.5">
      <c r="B12" s="47" t="s">
        <v>67</v>
      </c>
      <c r="D12" s="84"/>
      <c r="E12" s="84"/>
      <c r="F12" s="23">
        <f>G11*D8</f>
        <v>4729.0884480000013</v>
      </c>
      <c r="G12" s="105">
        <f>G11+F12</f>
        <v>38508.291648000006</v>
      </c>
    </row>
    <row r="13" spans="1:7" x14ac:dyDescent="0.45">
      <c r="A13" s="14" t="s">
        <v>78</v>
      </c>
      <c r="B13" s="47"/>
      <c r="D13" s="84"/>
      <c r="E13" s="84"/>
      <c r="F13" s="23"/>
      <c r="G13" s="22"/>
    </row>
    <row r="14" spans="1:7" x14ac:dyDescent="0.45">
      <c r="B14" s="47" t="s">
        <v>81</v>
      </c>
      <c r="D14" s="84"/>
      <c r="E14" s="84"/>
      <c r="F14" s="23">
        <f>G12*D8</f>
        <v>5391.1608307200013</v>
      </c>
      <c r="G14" s="22">
        <f>G12+F14</f>
        <v>43899.452478720006</v>
      </c>
    </row>
    <row r="15" spans="1:7" x14ac:dyDescent="0.45">
      <c r="B15" s="47" t="s">
        <v>74</v>
      </c>
      <c r="D15" s="84"/>
      <c r="E15" s="84"/>
      <c r="F15" s="23">
        <f>G14*D8</f>
        <v>6145.9233470208019</v>
      </c>
      <c r="G15" s="22">
        <f>G14+F15</f>
        <v>50045.375825740804</v>
      </c>
    </row>
    <row r="16" spans="1:7" ht="14.65" thickBot="1" x14ac:dyDescent="0.5">
      <c r="B16" s="47" t="s">
        <v>75</v>
      </c>
      <c r="D16" s="84"/>
      <c r="E16" s="84"/>
      <c r="F16" s="23">
        <f>G15*D8</f>
        <v>7006.3526156037133</v>
      </c>
      <c r="G16" s="22">
        <f>G15+F16</f>
        <v>57051.728441344516</v>
      </c>
    </row>
    <row r="17" spans="1:7" ht="14.65" thickBot="1" x14ac:dyDescent="0.5">
      <c r="B17" s="47" t="s">
        <v>76</v>
      </c>
      <c r="C17" s="23"/>
      <c r="F17" s="23">
        <f>G16*D8</f>
        <v>7987.2419817882328</v>
      </c>
      <c r="G17" s="76">
        <f>G16+F17</f>
        <v>65038.970423132749</v>
      </c>
    </row>
    <row r="18" spans="1:7" ht="14.65" thickBot="1" x14ac:dyDescent="0.5"/>
    <row r="19" spans="1:7" ht="14.65" thickBot="1" x14ac:dyDescent="0.5">
      <c r="A19" s="79" t="s">
        <v>5</v>
      </c>
      <c r="B19" s="87">
        <f>G9</f>
        <v>25992</v>
      </c>
    </row>
    <row r="20" spans="1:7" ht="14.65" thickBot="1" x14ac:dyDescent="0.5">
      <c r="A20" s="79" t="s">
        <v>85</v>
      </c>
      <c r="B20" s="87">
        <v>20000</v>
      </c>
    </row>
    <row r="21" spans="1:7" ht="14.65" thickBot="1" x14ac:dyDescent="0.5">
      <c r="A21" s="79" t="s">
        <v>86</v>
      </c>
      <c r="B21" s="87">
        <f>B19-B20</f>
        <v>5992</v>
      </c>
    </row>
    <row r="22" spans="1:7" x14ac:dyDescent="0.45">
      <c r="B22" s="8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2926-5226-48C5-A2D2-6B847A8C64DD}">
  <dimension ref="A1:G20"/>
  <sheetViews>
    <sheetView workbookViewId="0">
      <selection activeCell="B22" sqref="B22"/>
    </sheetView>
  </sheetViews>
  <sheetFormatPr defaultColWidth="8.59765625" defaultRowHeight="14.25" x14ac:dyDescent="0.45"/>
  <cols>
    <col min="1" max="1" width="12.59765625" style="67" customWidth="1"/>
    <col min="2" max="2" width="12.59765625" style="64" customWidth="1"/>
    <col min="3" max="3" width="10.73046875" style="5" customWidth="1"/>
    <col min="4" max="5" width="8.265625" style="3" customWidth="1"/>
    <col min="6" max="6" width="9.73046875" style="5" customWidth="1"/>
    <col min="7" max="7" width="10.73046875" style="5" customWidth="1"/>
    <col min="8" max="8" width="14.73046875" style="3" customWidth="1"/>
    <col min="9" max="9" width="20.73046875" style="3" customWidth="1"/>
    <col min="10" max="16384" width="8.59765625" style="3"/>
  </cols>
  <sheetData>
    <row r="1" spans="1:7" s="2" customFormat="1" ht="45" customHeight="1" thickBot="1" x14ac:dyDescent="0.5">
      <c r="A1" s="65" t="s">
        <v>0</v>
      </c>
      <c r="B1" s="62" t="s">
        <v>2</v>
      </c>
      <c r="C1" s="62" t="s">
        <v>6</v>
      </c>
      <c r="D1" s="62" t="s">
        <v>8</v>
      </c>
      <c r="E1" s="62" t="s">
        <v>87</v>
      </c>
      <c r="F1" s="62" t="s">
        <v>12</v>
      </c>
      <c r="G1" s="62" t="s">
        <v>13</v>
      </c>
    </row>
    <row r="2" spans="1:7" ht="15.75" customHeight="1" thickBot="1" x14ac:dyDescent="0.5">
      <c r="A2" s="9"/>
      <c r="B2" s="46" t="s">
        <v>29</v>
      </c>
      <c r="C2" s="23">
        <v>20000</v>
      </c>
      <c r="D2" s="88">
        <v>0.14000000000000001</v>
      </c>
      <c r="E2" s="90">
        <v>0</v>
      </c>
      <c r="F2" s="23"/>
      <c r="G2" s="23">
        <v>20000</v>
      </c>
    </row>
    <row r="3" spans="1:7" ht="15.75" customHeight="1" x14ac:dyDescent="0.45">
      <c r="A3" s="9">
        <v>45225</v>
      </c>
      <c r="B3" s="47" t="s">
        <v>30</v>
      </c>
      <c r="C3" s="23"/>
      <c r="D3" s="6"/>
      <c r="E3" s="6"/>
      <c r="F3" s="23">
        <f>G2*D3</f>
        <v>0</v>
      </c>
      <c r="G3" s="23">
        <f>G2+F3</f>
        <v>20000</v>
      </c>
    </row>
    <row r="4" spans="1:7" ht="15.75" customHeight="1" x14ac:dyDescent="0.45">
      <c r="A4" s="9"/>
      <c r="B4" s="47" t="s">
        <v>31</v>
      </c>
      <c r="C4" s="23"/>
      <c r="D4" s="6"/>
      <c r="E4" s="6"/>
      <c r="F4" s="23">
        <f>G2*14%</f>
        <v>2800.0000000000005</v>
      </c>
      <c r="G4" s="23">
        <f>G2+F4</f>
        <v>22800</v>
      </c>
    </row>
    <row r="5" spans="1:7" ht="15.75" customHeight="1" x14ac:dyDescent="0.45">
      <c r="A5" s="9"/>
      <c r="B5" s="47" t="s">
        <v>32</v>
      </c>
      <c r="C5" s="23"/>
      <c r="D5" s="6"/>
      <c r="E5" s="6"/>
      <c r="F5" s="55">
        <f>F4-F3</f>
        <v>2800.0000000000005</v>
      </c>
      <c r="G5" s="23"/>
    </row>
    <row r="6" spans="1:7" ht="15.75" customHeight="1" x14ac:dyDescent="0.45">
      <c r="A6" s="9">
        <v>45225</v>
      </c>
      <c r="B6" s="46" t="s">
        <v>33</v>
      </c>
      <c r="C6" s="23"/>
      <c r="D6" s="6"/>
      <c r="E6" s="6"/>
      <c r="F6" s="23"/>
      <c r="G6" s="23">
        <f>G4</f>
        <v>22800</v>
      </c>
    </row>
    <row r="7" spans="1:7" ht="15.75" customHeight="1" thickBot="1" x14ac:dyDescent="0.5">
      <c r="A7" s="9">
        <v>45226</v>
      </c>
      <c r="B7" s="47" t="s">
        <v>35</v>
      </c>
      <c r="C7" s="23"/>
      <c r="D7" s="6"/>
      <c r="E7" s="6"/>
      <c r="F7" s="23"/>
      <c r="G7" s="23">
        <f>G6</f>
        <v>22800</v>
      </c>
    </row>
    <row r="8" spans="1:7" s="1" customFormat="1" ht="15.75" customHeight="1" thickBot="1" x14ac:dyDescent="0.5">
      <c r="A8" s="111">
        <v>45229</v>
      </c>
      <c r="B8" s="47" t="s">
        <v>64</v>
      </c>
      <c r="C8" s="23"/>
      <c r="D8" s="18"/>
      <c r="E8" s="18"/>
      <c r="F8" s="23">
        <f>G7*D2</f>
        <v>3192.0000000000005</v>
      </c>
      <c r="G8" s="76">
        <f>G7+F8</f>
        <v>25992</v>
      </c>
    </row>
    <row r="9" spans="1:7" s="1" customFormat="1" ht="15.75" customHeight="1" x14ac:dyDescent="0.45">
      <c r="A9" s="68"/>
      <c r="B9" s="47" t="s">
        <v>65</v>
      </c>
      <c r="C9" s="23"/>
      <c r="D9" s="18"/>
      <c r="E9" s="18"/>
      <c r="F9" s="23">
        <f>G8*D2</f>
        <v>3638.8800000000006</v>
      </c>
      <c r="G9" s="23">
        <f>G8+F9</f>
        <v>29630.880000000001</v>
      </c>
    </row>
    <row r="10" spans="1:7" ht="14.65" thickBot="1" x14ac:dyDescent="0.5">
      <c r="A10" s="66"/>
      <c r="B10" s="47" t="s">
        <v>66</v>
      </c>
      <c r="D10" s="54"/>
      <c r="E10" s="54"/>
      <c r="F10" s="23">
        <f>G9*D2</f>
        <v>4148.3232000000007</v>
      </c>
      <c r="G10" s="23">
        <f>G9+F10</f>
        <v>33779.203200000004</v>
      </c>
    </row>
    <row r="11" spans="1:7" ht="14.65" thickBot="1" x14ac:dyDescent="0.5">
      <c r="B11" s="47" t="s">
        <v>67</v>
      </c>
      <c r="D11" s="54"/>
      <c r="E11" s="54"/>
      <c r="F11" s="23">
        <f>G10*D2</f>
        <v>4729.0884480000013</v>
      </c>
      <c r="G11" s="105">
        <f>G10+F11</f>
        <v>38508.291648000006</v>
      </c>
    </row>
    <row r="12" spans="1:7" x14ac:dyDescent="0.45">
      <c r="A12" s="14" t="s">
        <v>78</v>
      </c>
      <c r="B12" s="47"/>
      <c r="D12" s="54"/>
      <c r="E12" s="54"/>
      <c r="F12" s="23"/>
      <c r="G12" s="23"/>
    </row>
    <row r="13" spans="1:7" x14ac:dyDescent="0.45">
      <c r="B13" s="47" t="s">
        <v>81</v>
      </c>
      <c r="D13" s="54"/>
      <c r="E13" s="54"/>
      <c r="F13" s="23">
        <f>G11*D2</f>
        <v>5391.1608307200013</v>
      </c>
      <c r="G13" s="23">
        <f>G11+F13</f>
        <v>43899.452478720006</v>
      </c>
    </row>
    <row r="14" spans="1:7" x14ac:dyDescent="0.45">
      <c r="B14" s="47" t="s">
        <v>74</v>
      </c>
      <c r="D14" s="54"/>
      <c r="E14" s="54"/>
      <c r="F14" s="23">
        <f>G13*D2</f>
        <v>6145.9233470208019</v>
      </c>
      <c r="G14" s="23">
        <f>G13+F14</f>
        <v>50045.375825740804</v>
      </c>
    </row>
    <row r="15" spans="1:7" ht="14.65" thickBot="1" x14ac:dyDescent="0.5">
      <c r="B15" s="47" t="s">
        <v>75</v>
      </c>
      <c r="D15" s="54"/>
      <c r="E15" s="54"/>
      <c r="F15" s="23">
        <f>G14*D2</f>
        <v>7006.3526156037133</v>
      </c>
      <c r="G15" s="23">
        <f>G14+F15</f>
        <v>57051.728441344516</v>
      </c>
    </row>
    <row r="16" spans="1:7" ht="14.65" thickBot="1" x14ac:dyDescent="0.5">
      <c r="B16" s="47" t="s">
        <v>76</v>
      </c>
      <c r="C16" s="23"/>
      <c r="F16" s="23">
        <f>G15*D2</f>
        <v>7987.2419817882328</v>
      </c>
      <c r="G16" s="105">
        <f>G15+F16</f>
        <v>65038.970423132749</v>
      </c>
    </row>
    <row r="17" spans="1:2" ht="14.65" thickBot="1" x14ac:dyDescent="0.5"/>
    <row r="18" spans="1:2" ht="14.65" thickBot="1" x14ac:dyDescent="0.5">
      <c r="A18" s="79" t="s">
        <v>5</v>
      </c>
      <c r="B18" s="76">
        <f>G8</f>
        <v>25992</v>
      </c>
    </row>
    <row r="19" spans="1:2" ht="14.65" thickBot="1" x14ac:dyDescent="0.5">
      <c r="A19" s="79" t="s">
        <v>85</v>
      </c>
      <c r="B19" s="76">
        <f>C2</f>
        <v>20000</v>
      </c>
    </row>
    <row r="20" spans="1:2" ht="14.65" thickBot="1" x14ac:dyDescent="0.5">
      <c r="A20" s="79" t="s">
        <v>86</v>
      </c>
      <c r="B20" s="76">
        <f>B18-B19</f>
        <v>5992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507A-5B0B-4DF2-9C66-D2562627BC41}">
  <dimension ref="A1:F32"/>
  <sheetViews>
    <sheetView workbookViewId="0">
      <selection activeCell="C14" sqref="C14"/>
    </sheetView>
  </sheetViews>
  <sheetFormatPr defaultColWidth="8.59765625" defaultRowHeight="14.25" x14ac:dyDescent="0.45"/>
  <cols>
    <col min="1" max="1" width="8.73046875" style="50" customWidth="1"/>
    <col min="2" max="2" width="11.73046875" style="64" customWidth="1"/>
    <col min="3" max="3" width="10.73046875" style="5" customWidth="1"/>
    <col min="4" max="4" width="8.265625" style="3" customWidth="1"/>
    <col min="5" max="5" width="9.73046875" style="5" customWidth="1"/>
    <col min="6" max="6" width="10.73046875" style="5" customWidth="1"/>
    <col min="7" max="7" width="14.73046875" style="3" customWidth="1"/>
    <col min="8" max="8" width="20.73046875" style="3" customWidth="1"/>
    <col min="9" max="16384" width="8.59765625" style="3"/>
  </cols>
  <sheetData>
    <row r="1" spans="1:6" s="2" customFormat="1" ht="45" customHeight="1" thickBot="1" x14ac:dyDescent="0.5">
      <c r="A1" s="63" t="s">
        <v>0</v>
      </c>
      <c r="B1" s="63" t="s">
        <v>2</v>
      </c>
      <c r="C1" s="63" t="s">
        <v>6</v>
      </c>
      <c r="D1" s="63" t="s">
        <v>8</v>
      </c>
      <c r="E1" s="63" t="s">
        <v>14</v>
      </c>
      <c r="F1" s="63" t="s">
        <v>15</v>
      </c>
    </row>
    <row r="2" spans="1:6" ht="15.75" customHeight="1" thickBot="1" x14ac:dyDescent="0.5">
      <c r="A2" s="51">
        <v>45227</v>
      </c>
      <c r="B2" s="46" t="s">
        <v>34</v>
      </c>
      <c r="C2" s="89">
        <v>5000</v>
      </c>
      <c r="D2" s="88">
        <v>0.14000000000000001</v>
      </c>
      <c r="E2" s="22"/>
      <c r="F2" s="23">
        <v>5000</v>
      </c>
    </row>
    <row r="3" spans="1:6" s="1" customFormat="1" ht="15.75" customHeight="1" x14ac:dyDescent="0.45">
      <c r="A3" s="56">
        <v>45229</v>
      </c>
      <c r="B3" s="47" t="s">
        <v>64</v>
      </c>
      <c r="C3" s="23"/>
      <c r="D3" s="18"/>
      <c r="E3" s="23">
        <f>F2*D2</f>
        <v>700.00000000000011</v>
      </c>
      <c r="F3" s="23">
        <f>F2+E3</f>
        <v>5700</v>
      </c>
    </row>
    <row r="4" spans="1:6" s="1" customFormat="1" ht="15.75" customHeight="1" x14ac:dyDescent="0.45">
      <c r="A4" s="52"/>
      <c r="B4" s="47" t="s">
        <v>65</v>
      </c>
      <c r="C4" s="23"/>
      <c r="D4" s="18"/>
      <c r="E4" s="22">
        <f>F3*D2</f>
        <v>798.00000000000011</v>
      </c>
      <c r="F4" s="23">
        <f>F3+E4</f>
        <v>6498</v>
      </c>
    </row>
    <row r="5" spans="1:6" x14ac:dyDescent="0.45">
      <c r="A5" s="49"/>
      <c r="B5" s="47" t="s">
        <v>66</v>
      </c>
      <c r="D5" s="54"/>
      <c r="E5" s="22">
        <f>F4*D2</f>
        <v>909.72000000000014</v>
      </c>
      <c r="F5" s="23">
        <f>F4+E5</f>
        <v>7407.72</v>
      </c>
    </row>
    <row r="6" spans="1:6" x14ac:dyDescent="0.45">
      <c r="B6" s="47" t="s">
        <v>67</v>
      </c>
      <c r="D6" s="54"/>
      <c r="E6" s="22">
        <f>F5*D2</f>
        <v>1037.0808000000002</v>
      </c>
      <c r="F6" s="23">
        <f>F5+E6</f>
        <v>8444.8008000000009</v>
      </c>
    </row>
    <row r="7" spans="1:6" x14ac:dyDescent="0.45">
      <c r="A7" s="78" t="s">
        <v>78</v>
      </c>
      <c r="B7" s="47"/>
      <c r="D7" s="54"/>
      <c r="E7" s="22"/>
      <c r="F7" s="23"/>
    </row>
    <row r="8" spans="1:6" ht="14.65" thickBot="1" x14ac:dyDescent="0.5">
      <c r="B8" s="47" t="s">
        <v>68</v>
      </c>
      <c r="D8" s="54"/>
      <c r="E8" s="22">
        <f>F6*D2</f>
        <v>1182.2721120000003</v>
      </c>
      <c r="F8" s="23">
        <f>F6+E8</f>
        <v>9627.0729120000015</v>
      </c>
    </row>
    <row r="9" spans="1:6" ht="14.65" thickBot="1" x14ac:dyDescent="0.5">
      <c r="B9" s="47" t="s">
        <v>69</v>
      </c>
      <c r="D9" s="54"/>
      <c r="E9" s="22">
        <f>F8*D2</f>
        <v>1347.7902076800003</v>
      </c>
      <c r="F9" s="76">
        <f>F8+E9</f>
        <v>10974.863119680002</v>
      </c>
    </row>
    <row r="10" spans="1:6" x14ac:dyDescent="0.45">
      <c r="D10" s="54"/>
      <c r="E10" s="22"/>
      <c r="F10" s="23"/>
    </row>
    <row r="11" spans="1:6" ht="14.65" thickBot="1" x14ac:dyDescent="0.5"/>
    <row r="12" spans="1:6" ht="14.65" thickBot="1" x14ac:dyDescent="0.5">
      <c r="B12" s="79" t="s">
        <v>5</v>
      </c>
      <c r="C12" s="76">
        <f>F9</f>
        <v>10974.863119680002</v>
      </c>
    </row>
    <row r="13" spans="1:6" ht="14.65" thickBot="1" x14ac:dyDescent="0.5">
      <c r="B13" s="79" t="s">
        <v>85</v>
      </c>
      <c r="C13" s="76">
        <f>C2</f>
        <v>5000</v>
      </c>
    </row>
    <row r="14" spans="1:6" ht="14.65" thickBot="1" x14ac:dyDescent="0.5">
      <c r="B14" s="79" t="s">
        <v>86</v>
      </c>
      <c r="C14" s="76">
        <f>C12-C13</f>
        <v>5974.8631196800015</v>
      </c>
    </row>
    <row r="15" spans="1:6" ht="18.75" customHeight="1" x14ac:dyDescent="0.45"/>
    <row r="16" spans="1:6" hidden="1" x14ac:dyDescent="0.45"/>
    <row r="18" hidden="1" x14ac:dyDescent="0.45"/>
    <row r="19" ht="15.75" hidden="1" customHeight="1" x14ac:dyDescent="0.45"/>
    <row r="20" ht="15" hidden="1" customHeight="1" x14ac:dyDescent="0.45"/>
    <row r="22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1572-EE3F-4A85-8176-84BDF24D2E48}">
  <dimension ref="A1:J20"/>
  <sheetViews>
    <sheetView workbookViewId="0">
      <pane ySplit="1" topLeftCell="A2" activePane="bottomLeft" state="frozen"/>
      <selection pane="bottomLeft" activeCell="G17" sqref="G17"/>
    </sheetView>
  </sheetViews>
  <sheetFormatPr defaultRowHeight="14.25" x14ac:dyDescent="0.45"/>
  <cols>
    <col min="1" max="1" width="9.59765625" customWidth="1"/>
    <col min="2" max="2" width="12.59765625" style="1" customWidth="1"/>
    <col min="3" max="3" width="12.59765625" customWidth="1"/>
    <col min="4" max="4" width="10.59765625" style="1" customWidth="1"/>
    <col min="5" max="6" width="15.73046875" style="7" customWidth="1"/>
    <col min="7" max="7" width="10.59765625" style="3" customWidth="1"/>
    <col min="8" max="8" width="5.73046875" customWidth="1"/>
  </cols>
  <sheetData>
    <row r="1" spans="1:10" ht="20.25" customHeight="1" thickBot="1" x14ac:dyDescent="0.5">
      <c r="A1" s="29" t="s">
        <v>0</v>
      </c>
      <c r="B1" s="37" t="s">
        <v>2</v>
      </c>
      <c r="C1" s="32" t="s">
        <v>3</v>
      </c>
      <c r="D1" s="123" t="s">
        <v>60</v>
      </c>
      <c r="E1" s="38" t="s">
        <v>59</v>
      </c>
      <c r="F1" s="36" t="s">
        <v>4</v>
      </c>
      <c r="G1" s="59" t="s">
        <v>63</v>
      </c>
      <c r="H1" s="33"/>
    </row>
    <row r="2" spans="1:10" s="1" customFormat="1" ht="39.75" customHeight="1" thickBot="1" x14ac:dyDescent="0.5">
      <c r="A2" s="33"/>
      <c r="B2" s="30" t="s">
        <v>62</v>
      </c>
      <c r="C2" s="101">
        <v>500000</v>
      </c>
      <c r="D2" s="35"/>
      <c r="E2" s="35"/>
      <c r="F2" s="101">
        <v>500000</v>
      </c>
      <c r="G2" s="33"/>
      <c r="H2" s="33"/>
      <c r="I2" s="33"/>
      <c r="J2" s="33"/>
    </row>
    <row r="3" spans="1:10" ht="14.65" thickBot="1" x14ac:dyDescent="0.5">
      <c r="A3" s="95" t="s">
        <v>77</v>
      </c>
      <c r="B3" s="31"/>
      <c r="C3" s="25"/>
      <c r="D3" s="125">
        <v>0.2</v>
      </c>
      <c r="E3" s="28"/>
      <c r="F3" s="34"/>
      <c r="G3" s="81"/>
      <c r="H3" s="24"/>
      <c r="I3" s="24"/>
      <c r="J3" s="24"/>
    </row>
    <row r="4" spans="1:10" x14ac:dyDescent="0.45">
      <c r="A4" s="43">
        <v>2</v>
      </c>
      <c r="B4" s="47" t="s">
        <v>54</v>
      </c>
      <c r="C4" s="25"/>
      <c r="D4" s="124"/>
      <c r="E4" s="127">
        <f>F2*D3</f>
        <v>100000</v>
      </c>
      <c r="F4" s="57">
        <v>570000</v>
      </c>
      <c r="G4" s="126">
        <v>1.1399999999999999</v>
      </c>
      <c r="H4" s="26"/>
      <c r="I4" s="24"/>
      <c r="J4" s="24"/>
    </row>
    <row r="5" spans="1:10" x14ac:dyDescent="0.45">
      <c r="A5" s="43">
        <v>3</v>
      </c>
      <c r="B5" s="47" t="s">
        <v>55</v>
      </c>
      <c r="C5" s="25"/>
      <c r="D5" s="124"/>
      <c r="E5" s="127">
        <f>F4*D3</f>
        <v>114000</v>
      </c>
      <c r="F5" s="57">
        <v>649800</v>
      </c>
      <c r="G5" s="126">
        <v>1.2996000000000001</v>
      </c>
      <c r="H5" s="26"/>
      <c r="I5" s="24"/>
      <c r="J5" s="24"/>
    </row>
    <row r="6" spans="1:10" ht="14.65" thickBot="1" x14ac:dyDescent="0.5">
      <c r="A6" s="43">
        <v>4</v>
      </c>
      <c r="B6" s="47" t="s">
        <v>56</v>
      </c>
      <c r="C6" s="25"/>
      <c r="D6" s="124"/>
      <c r="E6" s="127">
        <f>F5*D3</f>
        <v>129960</v>
      </c>
      <c r="F6" s="57">
        <v>740772</v>
      </c>
      <c r="G6" s="126">
        <v>1.4815</v>
      </c>
      <c r="H6" s="26"/>
      <c r="I6" s="24"/>
      <c r="J6" s="24"/>
    </row>
    <row r="7" spans="1:10" ht="14.65" thickBot="1" x14ac:dyDescent="0.5">
      <c r="A7" s="95" t="s">
        <v>78</v>
      </c>
      <c r="B7" s="47"/>
      <c r="C7" s="25"/>
      <c r="D7" s="125">
        <v>0.3</v>
      </c>
      <c r="E7" s="127"/>
      <c r="F7" s="57"/>
      <c r="G7" s="126"/>
      <c r="H7" s="26"/>
      <c r="I7" s="24"/>
      <c r="J7" s="24"/>
    </row>
    <row r="8" spans="1:10" x14ac:dyDescent="0.45">
      <c r="A8" s="43">
        <v>1</v>
      </c>
      <c r="B8" s="47" t="s">
        <v>57</v>
      </c>
      <c r="C8" s="25"/>
      <c r="D8" s="124"/>
      <c r="E8" s="127">
        <f>F6*D7</f>
        <v>222231.6</v>
      </c>
      <c r="F8" s="57">
        <f>E8+F6</f>
        <v>963003.6</v>
      </c>
      <c r="G8" s="126">
        <v>1.9254</v>
      </c>
      <c r="H8" s="26"/>
      <c r="I8" s="24"/>
      <c r="J8" s="24"/>
    </row>
    <row r="9" spans="1:10" x14ac:dyDescent="0.45">
      <c r="A9" s="43">
        <v>2</v>
      </c>
      <c r="B9" s="47" t="s">
        <v>58</v>
      </c>
      <c r="C9" s="25"/>
      <c r="D9" s="124"/>
      <c r="E9" s="127">
        <f>F8*D7</f>
        <v>288901.07999999996</v>
      </c>
      <c r="F9" s="57">
        <v>1097486.31</v>
      </c>
      <c r="G9" s="126">
        <v>2.1949999999999998</v>
      </c>
      <c r="H9" s="26"/>
      <c r="I9" s="24"/>
      <c r="J9" s="24"/>
    </row>
    <row r="10" spans="1:10" x14ac:dyDescent="0.45">
      <c r="A10" s="43">
        <v>3</v>
      </c>
      <c r="B10" s="47" t="s">
        <v>58</v>
      </c>
      <c r="C10" s="25"/>
      <c r="D10" s="124"/>
      <c r="E10" s="127">
        <f>F9*D7</f>
        <v>329245.89299999998</v>
      </c>
      <c r="F10" s="57">
        <v>1251134.3999999999</v>
      </c>
      <c r="G10" s="126">
        <v>2.5023</v>
      </c>
      <c r="H10" s="26"/>
      <c r="I10" s="24"/>
      <c r="J10" s="24"/>
    </row>
    <row r="11" spans="1:10" x14ac:dyDescent="0.45">
      <c r="A11" s="43">
        <v>4</v>
      </c>
      <c r="B11" s="47" t="s">
        <v>58</v>
      </c>
      <c r="C11" s="25"/>
      <c r="D11" s="124"/>
      <c r="E11" s="127">
        <f>F10*D7</f>
        <v>375340.31999999995</v>
      </c>
      <c r="F11" s="57">
        <v>1426293.21</v>
      </c>
      <c r="G11" s="126">
        <v>2.8525999999999998</v>
      </c>
      <c r="H11" s="26"/>
      <c r="I11" s="24"/>
      <c r="J11" s="24"/>
    </row>
    <row r="12" spans="1:10" x14ac:dyDescent="0.45">
      <c r="C12" s="24"/>
      <c r="D12" s="33"/>
      <c r="E12" s="57"/>
      <c r="F12" s="57"/>
      <c r="G12" s="81"/>
      <c r="H12" s="24"/>
      <c r="I12" s="24"/>
      <c r="J12" s="24"/>
    </row>
    <row r="13" spans="1:10" x14ac:dyDescent="0.45">
      <c r="A13" s="24"/>
      <c r="B13" s="31"/>
      <c r="C13" s="24"/>
      <c r="D13" s="33"/>
      <c r="E13" s="57"/>
      <c r="F13" s="57"/>
      <c r="G13" s="80"/>
      <c r="H13" s="27"/>
      <c r="I13" s="24"/>
      <c r="J13" s="24"/>
    </row>
    <row r="14" spans="1:10" x14ac:dyDescent="0.45">
      <c r="A14" s="24"/>
      <c r="B14" s="31"/>
      <c r="C14" s="24"/>
      <c r="D14" s="33"/>
      <c r="E14" s="57"/>
      <c r="F14" s="57"/>
      <c r="G14" s="81"/>
      <c r="H14" s="24"/>
      <c r="I14" s="24"/>
      <c r="J14" s="24"/>
    </row>
    <row r="15" spans="1:10" x14ac:dyDescent="0.45">
      <c r="A15" s="24"/>
      <c r="B15" s="31"/>
      <c r="C15" s="24"/>
      <c r="D15" s="33"/>
      <c r="E15" s="34"/>
      <c r="F15" s="34"/>
      <c r="G15" s="81"/>
      <c r="H15" s="24"/>
      <c r="I15" s="24"/>
      <c r="J15" s="24"/>
    </row>
    <row r="16" spans="1:10" x14ac:dyDescent="0.45">
      <c r="A16" s="24"/>
      <c r="B16" s="31"/>
      <c r="C16" s="24"/>
      <c r="D16" s="33"/>
      <c r="E16" s="34"/>
      <c r="F16" s="34"/>
      <c r="G16" s="81"/>
      <c r="H16" s="24"/>
      <c r="I16" s="24"/>
      <c r="J16" s="24"/>
    </row>
    <row r="17" spans="1:10" x14ac:dyDescent="0.45">
      <c r="A17" s="24"/>
      <c r="B17" s="31"/>
      <c r="C17" s="24"/>
      <c r="D17" s="33"/>
      <c r="E17" s="34"/>
      <c r="F17" s="34"/>
      <c r="G17" s="81"/>
      <c r="H17" s="24"/>
      <c r="I17" s="24"/>
      <c r="J17" s="24"/>
    </row>
    <row r="18" spans="1:10" x14ac:dyDescent="0.45">
      <c r="A18" s="24"/>
      <c r="B18" s="31"/>
      <c r="C18" s="24"/>
      <c r="D18" s="33"/>
      <c r="E18" s="34"/>
      <c r="F18" s="34"/>
      <c r="G18" s="81"/>
      <c r="H18" s="24"/>
      <c r="I18" s="24"/>
      <c r="J18" s="24"/>
    </row>
    <row r="19" spans="1:10" x14ac:dyDescent="0.45">
      <c r="A19" s="24"/>
      <c r="B19" s="31"/>
      <c r="C19" s="24"/>
      <c r="D19" s="33"/>
      <c r="E19" s="34"/>
      <c r="F19" s="34"/>
      <c r="G19" s="81"/>
      <c r="H19" s="24"/>
      <c r="I19" s="24"/>
      <c r="J19" s="24"/>
    </row>
    <row r="20" spans="1:10" x14ac:dyDescent="0.45">
      <c r="A20" s="24"/>
      <c r="B20" s="31"/>
      <c r="C20" s="24"/>
      <c r="D20" s="33"/>
      <c r="E20" s="34"/>
      <c r="F20" s="34"/>
      <c r="G20" s="81"/>
      <c r="H20" s="24"/>
      <c r="I20" s="24"/>
      <c r="J20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DENNIS</vt:lpstr>
      <vt:lpstr>Sheet1</vt:lpstr>
      <vt:lpstr>ZOESCH</vt:lpstr>
      <vt:lpstr>RYAN</vt:lpstr>
      <vt:lpstr>BROOKS</vt:lpstr>
      <vt:lpstr>CUPP</vt:lpstr>
      <vt:lpstr>INVESTOR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Reph</dc:creator>
  <cp:keywords/>
  <dc:description/>
  <cp:lastModifiedBy>Scott Reph</cp:lastModifiedBy>
  <cp:revision/>
  <cp:lastPrinted>2023-10-31T16:36:39Z</cp:lastPrinted>
  <dcterms:created xsi:type="dcterms:W3CDTF">2023-08-25T10:48:35Z</dcterms:created>
  <dcterms:modified xsi:type="dcterms:W3CDTF">2023-11-01T02:19:37Z</dcterms:modified>
  <cp:category/>
  <cp:contentStatus/>
</cp:coreProperties>
</file>